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7.xml" ContentType="application/vnd.openxmlformats-officedocument.spreadsheetml.comments+xml"/>
  <Override PartName="/xl/threadedComments/threadedComment1.xml" ContentType="application/vnd.ms-excel.threaded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8.xml" ContentType="application/vnd.openxmlformats-officedocument.spreadsheetml.comments+xml"/>
  <Override PartName="/xl/comments9.xml" ContentType="application/vnd.openxmlformats-officedocument.spreadsheetml.comments+xml"/>
  <Override PartName="/xl/threadedComments/threadedComment2.xml" ContentType="application/vnd.ms-excel.threadedcomments+xml"/>
  <Override PartName="/xl/comments10.xml" ContentType="application/vnd.openxmlformats-officedocument.spreadsheetml.comments+xml"/>
  <Override PartName="/xl/threadedComments/threadedComment3.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11.xml" ContentType="application/vnd.openxmlformats-officedocument.spreadsheetml.comments+xml"/>
  <Override PartName="/xl/threadedComments/threadedComment4.xml" ContentType="application/vnd.ms-excel.threadedcomments+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amsuni-my.sharepoint.com/personal/a_m_a_i_elberry_uva_nl/Documents/thesis supervison-KTH/Afonso and Pietro/The final version of the tool/"/>
    </mc:Choice>
  </mc:AlternateContent>
  <xr:revisionPtr revIDLastSave="16" documentId="8_{FF4306B8-741E-7F4F-84E3-323C90CD1602}" xr6:coauthVersionLast="47" xr6:coauthVersionMax="47" xr10:uidLastSave="{1D3244B6-099D-134B-91B0-BC05715AF64E}"/>
  <bookViews>
    <workbookView xWindow="4280" yWindow="620" windowWidth="28800" windowHeight="16460" tabRatio="701" xr2:uid="{D4D5332D-09E6-CC41-9D8F-8EB62F8D49BD}"/>
  </bookViews>
  <sheets>
    <sheet name="HOME" sheetId="8" r:id="rId1"/>
    <sheet name="LCOE" sheetId="21" r:id="rId2"/>
    <sheet name="Electrolysis" sheetId="1" r:id="rId3"/>
    <sheet name="CFA Electrolysis" sheetId="4" r:id="rId4"/>
    <sheet name="SMR" sheetId="7" r:id="rId5"/>
    <sheet name="CFA SMR" sheetId="10" r:id="rId6"/>
    <sheet name="Pyr" sheetId="11" r:id="rId7"/>
    <sheet name="CFA Pyrolysis" sheetId="12" r:id="rId8"/>
    <sheet name="Prod Data" sheetId="20" r:id="rId9"/>
    <sheet name="FinalStorage" sheetId="51" r:id="rId10"/>
    <sheet name="IntStorage" sheetId="53" r:id="rId11"/>
    <sheet name="Storage Data" sheetId="52" r:id="rId12"/>
    <sheet name="Pipeline" sheetId="25" r:id="rId13"/>
    <sheet name="Shipping" sheetId="26" r:id="rId14"/>
    <sheet name="Truck" sheetId="27" r:id="rId15"/>
    <sheet name="T&amp;D Data" sheetId="24" r:id="rId16"/>
    <sheet name="Compression" sheetId="33" r:id="rId17"/>
    <sheet name="CFA Compression" sheetId="31" r:id="rId18"/>
    <sheet name="NH3 reconversion" sheetId="46" r:id="rId19"/>
    <sheet name="CFA NH3 reconversion" sheetId="48" r:id="rId20"/>
    <sheet name="NH3 conversion" sheetId="43" r:id="rId21"/>
    <sheet name="CFA NH3 conversion" sheetId="45" r:id="rId22"/>
    <sheet name="Regasification" sheetId="40" r:id="rId23"/>
    <sheet name="CFA Regasification" sheetId="42" r:id="rId24"/>
    <sheet name="Liquefaction" sheetId="37" r:id="rId25"/>
    <sheet name="CFA Liquefaction" sheetId="39" r:id="rId26"/>
    <sheet name="Conversion data" sheetId="49" r:id="rId27"/>
    <sheet name="Prod. Pathways" sheetId="22" r:id="rId28"/>
    <sheet name="Supply routes" sheetId="23" r:id="rId29"/>
    <sheet name="Fuel Data" sheetId="36" r:id="rId30"/>
    <sheet name="CoolProp" sheetId="54" r:id="rId31"/>
    <sheet name="General values" sheetId="18" r:id="rId32"/>
    <sheet name="List DB" sheetId="2" r:id="rId33"/>
  </sheets>
  <externalReferences>
    <externalReference r:id="rId34"/>
  </externalReferences>
  <definedNames>
    <definedName name="Countries" localSheetId="25">Table8[Destination countries]</definedName>
    <definedName name="Countries" localSheetId="21">Table8[Destination countries]</definedName>
    <definedName name="Countries" localSheetId="19">Table8[Destination countries]</definedName>
    <definedName name="Countries" localSheetId="23">Table8[Destination countries]</definedName>
    <definedName name="Countries" localSheetId="10">Table8[Destination countries]</definedName>
    <definedName name="Countries" localSheetId="24">Table8[Destination countries]</definedName>
    <definedName name="Countries" localSheetId="20">Table8[Destination countries]</definedName>
    <definedName name="Countries" localSheetId="18">Table8[Destination countries]</definedName>
    <definedName name="Countries" localSheetId="22">Table8[Destination countries]</definedName>
    <definedName name="Countries">Table8[Destination countries]</definedName>
    <definedName name="Electrolysis" localSheetId="25">Table2[Electrolyser types]</definedName>
    <definedName name="Electrolysis" localSheetId="21">Table2[Electrolyser types]</definedName>
    <definedName name="Electrolysis" localSheetId="19">Table2[Electrolyser types]</definedName>
    <definedName name="Electrolysis" localSheetId="23">Table2[Electrolyser types]</definedName>
    <definedName name="Electrolysis" localSheetId="10">Table2[Electrolyser types]</definedName>
    <definedName name="Electrolysis" localSheetId="24">Table2[Electrolyser types]</definedName>
    <definedName name="Electrolysis" localSheetId="20">Table2[Electrolyser types]</definedName>
    <definedName name="Electrolysis" localSheetId="18">Table2[Electrolyser types]</definedName>
    <definedName name="Electrolysis" localSheetId="22">Table2[Electrolyser types]</definedName>
    <definedName name="Electrolysis">Table2[Electrolyser types]</definedName>
    <definedName name="ElSources" localSheetId="25">Table4[Sources of electricity]</definedName>
    <definedName name="ElSources" localSheetId="21">Table4[Sources of electricity]</definedName>
    <definedName name="ElSources" localSheetId="19">Table4[Sources of electricity]</definedName>
    <definedName name="ElSources" localSheetId="23">Table4[Sources of electricity]</definedName>
    <definedName name="ElSources" localSheetId="10">Table4[Sources of electricity]</definedName>
    <definedName name="ElSources" localSheetId="24">Table4[Sources of electricity]</definedName>
    <definedName name="ElSources" localSheetId="20">Table4[Sources of electricity]</definedName>
    <definedName name="ElSources" localSheetId="18">Table4[Sources of electricity]</definedName>
    <definedName name="ElSources" localSheetId="22">Table4[Sources of electricity]</definedName>
    <definedName name="ElSources">Table4[Sources of electricity]</definedName>
    <definedName name="ElTypes" localSheetId="25">Table2[Electrolyser types]</definedName>
    <definedName name="ElTypes" localSheetId="21">Table2[Electrolyser types]</definedName>
    <definedName name="ElTypes" localSheetId="19">Table2[Electrolyser types]</definedName>
    <definedName name="ElTypes" localSheetId="23">Table2[Electrolyser types]</definedName>
    <definedName name="ElTypes" localSheetId="10">Table2[Electrolyser types]</definedName>
    <definedName name="ElTypes" localSheetId="24">Table2[Electrolyser types]</definedName>
    <definedName name="ElTypes" localSheetId="20">Table2[Electrolyser types]</definedName>
    <definedName name="ElTypes" localSheetId="18">Table2[Electrolyser types]</definedName>
    <definedName name="ElTypes" localSheetId="22">Table2[Electrolyser types]</definedName>
    <definedName name="ElTypes">Table2[Electrolyser types]</definedName>
    <definedName name="No">'List DB'!#REF!</definedName>
    <definedName name="ProdMethod">'List DB'!$K$2:$K$4</definedName>
    <definedName name="ProjStartingYear" localSheetId="25">Table5[Project starting years]</definedName>
    <definedName name="ProjStartingYear" localSheetId="21">Table5[Project starting years]</definedName>
    <definedName name="ProjStartingYear" localSheetId="19">Table5[Project starting years]</definedName>
    <definedName name="ProjStartingYear" localSheetId="23">Table5[Project starting years]</definedName>
    <definedName name="ProjStartingYear" localSheetId="10">Table5[Project starting years]</definedName>
    <definedName name="ProjStartingYear" localSheetId="24">Table5[Project starting years]</definedName>
    <definedName name="ProjStartingYear" localSheetId="20">Table5[Project starting years]</definedName>
    <definedName name="ProjStartingYear" localSheetId="18">Table5[Project starting years]</definedName>
    <definedName name="ProjStartingYear" localSheetId="22">Table5[Project starting years]</definedName>
    <definedName name="ProjStartingYear">Table5[Project starting years]</definedName>
    <definedName name="SMR">'List DB'!#REF!</definedName>
    <definedName name="TbELv" localSheetId="25">Tb_ELv[]</definedName>
    <definedName name="TbELv" localSheetId="21">Tb_ELv[]</definedName>
    <definedName name="TbELv" localSheetId="19">Tb_ELv[]</definedName>
    <definedName name="TbELv" localSheetId="23">Tb_ELv[]</definedName>
    <definedName name="TbELv" localSheetId="10">Tb_ELv[]</definedName>
    <definedName name="TbELv" localSheetId="24">Tb_ELv[]</definedName>
    <definedName name="TbELv" localSheetId="20">Tb_ELv[]</definedName>
    <definedName name="TbELv" localSheetId="18">Tb_ELv[]</definedName>
    <definedName name="TbELv" localSheetId="22">Tb_ELv[]</definedName>
    <definedName name="TbELv">Tb_ELv[]</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51" l="1"/>
  <c r="AA22" i="52" l="1"/>
  <c r="Y22" i="52"/>
  <c r="W22" i="52"/>
  <c r="U20" i="52" l="1"/>
  <c r="S20" i="52"/>
  <c r="Q20" i="52"/>
  <c r="F15" i="36"/>
  <c r="F16" i="36"/>
  <c r="F17" i="36"/>
  <c r="F18" i="36"/>
  <c r="F19" i="36"/>
  <c r="F20" i="36"/>
  <c r="F21" i="36"/>
  <c r="F22" i="36"/>
  <c r="F23" i="36"/>
  <c r="F24" i="36"/>
  <c r="F25" i="36"/>
  <c r="F26" i="36"/>
  <c r="F27" i="36"/>
  <c r="F28" i="36"/>
  <c r="F29" i="36"/>
  <c r="F30" i="36"/>
  <c r="F31" i="36"/>
  <c r="F32" i="36"/>
  <c r="F33" i="36"/>
  <c r="F34" i="36"/>
  <c r="F35" i="36"/>
  <c r="F36" i="36"/>
  <c r="F37" i="36"/>
  <c r="F38" i="36"/>
  <c r="F39" i="36"/>
  <c r="F40" i="36"/>
  <c r="F41" i="36"/>
  <c r="F42" i="36"/>
  <c r="F43" i="36"/>
  <c r="F14" i="36"/>
  <c r="A11" i="2" l="1"/>
  <c r="A12" i="2"/>
  <c r="E9" i="1" l="1"/>
  <c r="A59" i="23" l="1"/>
  <c r="C59" i="23"/>
  <c r="H59" i="23"/>
  <c r="B37" i="27"/>
  <c r="AY6" i="49"/>
  <c r="AC7" i="24"/>
  <c r="Q8" i="52" l="1"/>
  <c r="C21" i="52"/>
  <c r="C20" i="52"/>
  <c r="B26" i="51" l="1"/>
  <c r="E10" i="33" l="1"/>
  <c r="I20" i="52" l="1"/>
  <c r="G20" i="52"/>
  <c r="E20" i="52"/>
  <c r="D26" i="51" l="1"/>
  <c r="B27" i="51" s="1"/>
  <c r="D27" i="51" s="1"/>
  <c r="U22" i="52"/>
  <c r="S22" i="52"/>
  <c r="Q22" i="52"/>
  <c r="I21" i="52"/>
  <c r="G21" i="52"/>
  <c r="E21" i="52"/>
  <c r="U8" i="52"/>
  <c r="S8" i="52"/>
  <c r="AG8" i="52"/>
  <c r="AE8" i="52"/>
  <c r="AC8" i="52"/>
  <c r="E8" i="53"/>
  <c r="E10" i="53"/>
  <c r="E13" i="53"/>
  <c r="E14" i="53"/>
  <c r="H23" i="53"/>
  <c r="H52" i="53"/>
  <c r="H131" i="8" l="1"/>
  <c r="H130" i="8"/>
  <c r="H129" i="8"/>
  <c r="B129" i="8"/>
  <c r="A129" i="8"/>
  <c r="H114" i="8"/>
  <c r="M20" i="49"/>
  <c r="M2" i="49"/>
  <c r="Q16" i="2" s="1"/>
  <c r="J9" i="33" s="1"/>
  <c r="B30" i="27"/>
  <c r="J46" i="8"/>
  <c r="L12" i="8"/>
  <c r="B153" i="8"/>
  <c r="B154" i="8"/>
  <c r="E17" i="51"/>
  <c r="H156" i="8" l="1"/>
  <c r="K46" i="8" s="1"/>
  <c r="B155" i="8"/>
  <c r="M12" i="49" s="1"/>
  <c r="L11" i="8"/>
  <c r="H155" i="8"/>
  <c r="E2" i="49"/>
  <c r="Q12" i="2" s="1"/>
  <c r="J5" i="33" s="1"/>
  <c r="E20" i="49"/>
  <c r="D106" i="8"/>
  <c r="J44" i="8"/>
  <c r="K14" i="8"/>
  <c r="K11" i="8"/>
  <c r="E14" i="51"/>
  <c r="E13" i="51" s="1"/>
  <c r="H1" i="51"/>
  <c r="AN13" i="36"/>
  <c r="AN6" i="36" s="1"/>
  <c r="AN23" i="36"/>
  <c r="AN33" i="36"/>
  <c r="AN37" i="36" s="1"/>
  <c r="AJ13" i="36"/>
  <c r="AJ6" i="36" s="1"/>
  <c r="AJ23" i="36"/>
  <c r="AJ33" i="36"/>
  <c r="AJ41" i="36" s="1"/>
  <c r="AH13" i="36"/>
  <c r="AH6" i="36" s="1"/>
  <c r="AH23" i="36"/>
  <c r="AH33" i="36"/>
  <c r="AH36" i="36" s="1"/>
  <c r="AF33" i="36"/>
  <c r="AF23" i="36"/>
  <c r="AF13" i="36"/>
  <c r="AW2" i="52"/>
  <c r="AU2" i="52"/>
  <c r="AO2" i="52"/>
  <c r="AM2" i="52"/>
  <c r="K12" i="8" a="1"/>
  <c r="K18" i="8" a="1"/>
  <c r="I45" i="8" l="1"/>
  <c r="B55" i="53" a="1"/>
  <c r="B55" i="53" s="1"/>
  <c r="D55" i="53" s="1"/>
  <c r="B67" i="53" a="1"/>
  <c r="B67" i="53" s="1"/>
  <c r="D67" i="53" s="1"/>
  <c r="B56" i="53" a="1"/>
  <c r="B56" i="53" s="1"/>
  <c r="D56" i="53" s="1"/>
  <c r="B58" i="53" a="1"/>
  <c r="B58" i="53" s="1"/>
  <c r="D58" i="53" s="1"/>
  <c r="B68" i="53" a="1"/>
  <c r="B68" i="53" s="1"/>
  <c r="D68" i="53" s="1"/>
  <c r="B49" i="53" a="1"/>
  <c r="B49" i="53" s="1"/>
  <c r="D49" i="53" s="1"/>
  <c r="B63" i="53" a="1"/>
  <c r="B63" i="53" s="1"/>
  <c r="D63" i="53" s="1"/>
  <c r="B64" i="53" a="1"/>
  <c r="B64" i="53" s="1"/>
  <c r="D64" i="53" s="1"/>
  <c r="B65" i="53" a="1"/>
  <c r="B65" i="53" s="1"/>
  <c r="D65" i="53" s="1"/>
  <c r="B69" i="53" a="1"/>
  <c r="B69" i="53" s="1"/>
  <c r="D69" i="53" s="1"/>
  <c r="B20" i="53" a="1"/>
  <c r="B20" i="53" s="1"/>
  <c r="D20" i="53" s="1"/>
  <c r="B37" i="53" a="1"/>
  <c r="B37" i="53" s="1"/>
  <c r="D37" i="53" s="1"/>
  <c r="B39" i="53" a="1"/>
  <c r="B39" i="53" s="1"/>
  <c r="D39" i="53" s="1"/>
  <c r="B26" i="53" a="1"/>
  <c r="B26" i="53" s="1"/>
  <c r="D26" i="53" s="1"/>
  <c r="B27" i="53" a="1"/>
  <c r="B27" i="53" s="1"/>
  <c r="D27" i="53" s="1"/>
  <c r="B38" i="53" a="1"/>
  <c r="B38" i="53" s="1"/>
  <c r="D38" i="53" s="1"/>
  <c r="B29" i="53" a="1"/>
  <c r="B29" i="53" s="1"/>
  <c r="D29" i="53" s="1"/>
  <c r="B33" i="53" a="1"/>
  <c r="B33" i="53" s="1"/>
  <c r="D33" i="53" s="1"/>
  <c r="B34" i="53" a="1"/>
  <c r="B34" i="53" s="1"/>
  <c r="D34" i="53" s="1"/>
  <c r="B35" i="53" a="1"/>
  <c r="B35" i="53" s="1"/>
  <c r="D35" i="53" s="1"/>
  <c r="B146" i="8"/>
  <c r="H132" i="8" s="1"/>
  <c r="A145" i="8"/>
  <c r="A146" i="8"/>
  <c r="AN15" i="36"/>
  <c r="AH41" i="36"/>
  <c r="AH28" i="36"/>
  <c r="AN21" i="36"/>
  <c r="AJ21" i="36"/>
  <c r="AJ16" i="36"/>
  <c r="AH19" i="36"/>
  <c r="AH16" i="36"/>
  <c r="AN14" i="36"/>
  <c r="AN20" i="36"/>
  <c r="AJ39" i="36"/>
  <c r="AN16" i="36"/>
  <c r="AH22" i="36"/>
  <c r="AJ37" i="36"/>
  <c r="AJ18" i="36"/>
  <c r="AN19" i="36"/>
  <c r="AH21" i="36"/>
  <c r="AJ36" i="36"/>
  <c r="AJ17" i="36"/>
  <c r="AN18" i="36"/>
  <c r="AJ31" i="36"/>
  <c r="AH39" i="36"/>
  <c r="AH15" i="36"/>
  <c r="AJ29" i="36"/>
  <c r="AJ28" i="36"/>
  <c r="AN30" i="36"/>
  <c r="AJ14" i="36"/>
  <c r="E14" i="27"/>
  <c r="K18" i="8"/>
  <c r="K12" i="8"/>
  <c r="AH31" i="36"/>
  <c r="AH18" i="36"/>
  <c r="AJ20" i="36"/>
  <c r="AN41" i="36"/>
  <c r="AN22" i="36"/>
  <c r="AH29" i="36"/>
  <c r="AH17" i="36"/>
  <c r="AJ30" i="36"/>
  <c r="AJ19" i="36"/>
  <c r="AN39" i="36"/>
  <c r="AH14" i="36"/>
  <c r="AN35" i="36"/>
  <c r="AH37" i="36"/>
  <c r="AJ15" i="36"/>
  <c r="AN31" i="36"/>
  <c r="AN17" i="36"/>
  <c r="AH20" i="36"/>
  <c r="AJ22" i="36"/>
  <c r="AN29" i="36"/>
  <c r="AH30" i="36"/>
  <c r="AN43" i="36"/>
  <c r="AN36" i="36"/>
  <c r="AN28" i="36"/>
  <c r="AN12" i="36"/>
  <c r="AN11" i="36"/>
  <c r="AN27" i="36"/>
  <c r="AN42" i="36"/>
  <c r="AN34" i="36"/>
  <c r="AN26" i="36"/>
  <c r="AN10" i="36"/>
  <c r="AN25" i="36"/>
  <c r="AN9" i="36"/>
  <c r="AN40" i="36"/>
  <c r="AN32" i="36"/>
  <c r="AN24" i="36"/>
  <c r="AN8" i="36"/>
  <c r="AN7" i="36"/>
  <c r="AN38" i="36"/>
  <c r="AJ12" i="36"/>
  <c r="AJ43" i="36"/>
  <c r="AJ35" i="36"/>
  <c r="AJ27" i="36"/>
  <c r="AJ11" i="36"/>
  <c r="AJ42" i="36"/>
  <c r="AJ34" i="36"/>
  <c r="AJ26" i="36"/>
  <c r="AJ10" i="36"/>
  <c r="AJ25" i="36"/>
  <c r="AJ9" i="36"/>
  <c r="AJ40" i="36"/>
  <c r="AJ32" i="36"/>
  <c r="AJ24" i="36"/>
  <c r="AJ8" i="36"/>
  <c r="AJ7" i="36"/>
  <c r="AJ38" i="36"/>
  <c r="AH12" i="36"/>
  <c r="AH43" i="36"/>
  <c r="AH35" i="36"/>
  <c r="AH27" i="36"/>
  <c r="AH11" i="36"/>
  <c r="AH42" i="36"/>
  <c r="AH34" i="36"/>
  <c r="AH26" i="36"/>
  <c r="AH10" i="36"/>
  <c r="AH25" i="36"/>
  <c r="AH9" i="36"/>
  <c r="AH40" i="36"/>
  <c r="AH32" i="36"/>
  <c r="AH24" i="36"/>
  <c r="AH8" i="36"/>
  <c r="AH7" i="36"/>
  <c r="AH38" i="36"/>
  <c r="B36" i="53" l="1"/>
  <c r="D36" i="53" s="1"/>
  <c r="B66" i="53"/>
  <c r="D66" i="53" s="1"/>
  <c r="T8" i="21"/>
  <c r="P8" i="21"/>
  <c r="L8" i="21"/>
  <c r="B22" i="11"/>
  <c r="B31" i="7"/>
  <c r="C66" i="2" l="1"/>
  <c r="E66" i="2"/>
  <c r="G66" i="2"/>
  <c r="I66" i="2"/>
  <c r="C67" i="2"/>
  <c r="E67" i="2"/>
  <c r="G67" i="2"/>
  <c r="I67" i="2"/>
  <c r="C68" i="2"/>
  <c r="I68" i="2"/>
  <c r="C4" i="52"/>
  <c r="E4" i="52"/>
  <c r="G4" i="52"/>
  <c r="I4" i="52"/>
  <c r="K4" i="52"/>
  <c r="M4" i="52"/>
  <c r="O4" i="52"/>
  <c r="Q4" i="52"/>
  <c r="S4" i="52"/>
  <c r="U4" i="52"/>
  <c r="W4" i="52"/>
  <c r="Y4" i="52"/>
  <c r="AA4" i="52"/>
  <c r="AC4" i="52"/>
  <c r="AE4" i="52"/>
  <c r="AG4" i="52"/>
  <c r="B35" i="51" l="1" a="1"/>
  <c r="B35" i="51" s="1"/>
  <c r="D35" i="51" s="1"/>
  <c r="B44" i="51" a="1"/>
  <c r="B44" i="51" s="1"/>
  <c r="E8" i="51"/>
  <c r="B31" i="51" l="1" a="1"/>
  <c r="B31" i="51" s="1"/>
  <c r="B23" i="51" a="1"/>
  <c r="B23" i="51" s="1"/>
  <c r="B46" i="51" a="1"/>
  <c r="B46" i="51" s="1"/>
  <c r="B53" i="51" a="1"/>
  <c r="B53" i="51" s="1"/>
  <c r="B39" i="51" a="1"/>
  <c r="B39" i="51" s="1"/>
  <c r="D39" i="51" s="1"/>
  <c r="B52" i="51" a="1"/>
  <c r="B52" i="51" s="1"/>
  <c r="B32" i="51" a="1"/>
  <c r="B32" i="51" s="1"/>
  <c r="D32" i="51" s="1"/>
  <c r="B45" i="51" a="1"/>
  <c r="B45" i="51" s="1"/>
  <c r="B49" i="51" a="1"/>
  <c r="B49" i="51" s="1"/>
  <c r="B50" i="51" a="1"/>
  <c r="B50" i="51" s="1"/>
  <c r="B33" i="51" a="1"/>
  <c r="B33" i="51" s="1"/>
  <c r="D33" i="51" s="1"/>
  <c r="B40" i="51" a="1"/>
  <c r="B40" i="51" s="1"/>
  <c r="D40" i="51" s="1"/>
  <c r="D11" i="8"/>
  <c r="E8" i="11"/>
  <c r="D31" i="51" l="1"/>
  <c r="AD6" i="36"/>
  <c r="AD7" i="36"/>
  <c r="AD8" i="36"/>
  <c r="AD9" i="36"/>
  <c r="AD10" i="36"/>
  <c r="AD11" i="36"/>
  <c r="AD12" i="36"/>
  <c r="AD13" i="36"/>
  <c r="AD5" i="36"/>
  <c r="AB6" i="36"/>
  <c r="AB7" i="36"/>
  <c r="AB8" i="36"/>
  <c r="AB9" i="36"/>
  <c r="AB10" i="36"/>
  <c r="AB11" i="36"/>
  <c r="AB12" i="36"/>
  <c r="AB13" i="36"/>
  <c r="AB5" i="36"/>
  <c r="Z6" i="36"/>
  <c r="Z7" i="36"/>
  <c r="Z8" i="36"/>
  <c r="Z9" i="36"/>
  <c r="Z10" i="36"/>
  <c r="Z11" i="36"/>
  <c r="Z12" i="36"/>
  <c r="Z13" i="36"/>
  <c r="Z5" i="36"/>
  <c r="AG10" i="52" a="1"/>
  <c r="S10" i="52" a="1"/>
  <c r="AC10" i="52" a="1"/>
  <c r="AG10" i="52" l="1"/>
  <c r="AC10" i="52"/>
  <c r="S10" i="52"/>
  <c r="K44" i="8"/>
  <c r="I4" i="4"/>
  <c r="AA10" i="52" a="1"/>
  <c r="M10" i="52" a="1"/>
  <c r="U10" i="52" a="1"/>
  <c r="E10" i="52" a="1"/>
  <c r="AE10" i="52" a="1"/>
  <c r="K10" i="52" a="1"/>
  <c r="Y10" i="52" a="1"/>
  <c r="O10" i="52" a="1"/>
  <c r="I10" i="52" a="1"/>
  <c r="C10" i="52" a="1"/>
  <c r="G10" i="52" a="1"/>
  <c r="Q10" i="52" a="1"/>
  <c r="W10" i="52" a="1"/>
  <c r="M10" i="52" l="1"/>
  <c r="U10" i="52"/>
  <c r="Y10" i="52"/>
  <c r="AE10" i="52"/>
  <c r="E10" i="52"/>
  <c r="C10" i="52"/>
  <c r="AA10" i="52"/>
  <c r="W10" i="52"/>
  <c r="Q10" i="52"/>
  <c r="B30" i="51" s="1" a="1"/>
  <c r="B30" i="51" s="1"/>
  <c r="D30" i="51" s="1"/>
  <c r="O10" i="52"/>
  <c r="K10" i="52"/>
  <c r="I10" i="52"/>
  <c r="G10" i="52"/>
  <c r="O4" i="4"/>
  <c r="H14" i="8"/>
  <c r="H86" i="25"/>
  <c r="E86" i="25"/>
  <c r="H11" i="8"/>
  <c r="B106" i="8"/>
  <c r="H54" i="25"/>
  <c r="E54" i="25"/>
  <c r="H22" i="25"/>
  <c r="E22" i="25"/>
  <c r="B91" i="8"/>
  <c r="B90" i="8"/>
  <c r="F11" i="8"/>
  <c r="E11" i="8"/>
  <c r="F18" i="8" a="1"/>
  <c r="H81" i="8" l="1"/>
  <c r="F18" i="8"/>
  <c r="E15" i="26"/>
  <c r="D12" i="7"/>
  <c r="B88" i="8"/>
  <c r="B87" i="8"/>
  <c r="F12" i="7"/>
  <c r="D13" i="7"/>
  <c r="H13" i="1"/>
  <c r="D13" i="1"/>
  <c r="B25" i="1" s="1" a="1"/>
  <c r="B25" i="1" s="1"/>
  <c r="J6" i="11"/>
  <c r="J6" i="7"/>
  <c r="J6" i="1"/>
  <c r="J5" i="11"/>
  <c r="B68" i="8"/>
  <c r="J5" i="7"/>
  <c r="H56" i="8"/>
  <c r="B64" i="8"/>
  <c r="H154" i="8" s="1"/>
  <c r="C14" i="8"/>
  <c r="J5" i="1"/>
  <c r="C15" i="8"/>
  <c r="H18" i="8" a="1"/>
  <c r="E88" i="8" a="1"/>
  <c r="H18" i="8" l="1"/>
  <c r="H57" i="8"/>
  <c r="E88" i="8"/>
  <c r="B65" i="8"/>
  <c r="A65" i="8"/>
  <c r="G57" i="8"/>
  <c r="B67" i="8"/>
  <c r="A103" i="8"/>
  <c r="H9" i="23"/>
  <c r="I9" i="23" s="1"/>
  <c r="I6" i="23"/>
  <c r="J6" i="23"/>
  <c r="K6" i="23"/>
  <c r="B77" i="8"/>
  <c r="K8" i="40"/>
  <c r="K6" i="46"/>
  <c r="K5" i="46"/>
  <c r="K7" i="46"/>
  <c r="AY1" i="49"/>
  <c r="AY7" i="49"/>
  <c r="AY8" i="49"/>
  <c r="AY12" i="49"/>
  <c r="AY13" i="49"/>
  <c r="AY14" i="49"/>
  <c r="AS1" i="49"/>
  <c r="B26" i="40" s="1" a="1"/>
  <c r="B26" i="40" s="1"/>
  <c r="AS11" i="49"/>
  <c r="AK2" i="49"/>
  <c r="B38" i="37" s="1" a="1"/>
  <c r="B38" i="37" s="1"/>
  <c r="AM2" i="49"/>
  <c r="AK11" i="49"/>
  <c r="AM11" i="49"/>
  <c r="AK12" i="49"/>
  <c r="AM12" i="49"/>
  <c r="C2" i="49"/>
  <c r="G2" i="49"/>
  <c r="I2" i="49"/>
  <c r="K2" i="49"/>
  <c r="Q15" i="2" s="1"/>
  <c r="O2" i="49"/>
  <c r="Q2" i="49"/>
  <c r="S2" i="49"/>
  <c r="U2" i="49"/>
  <c r="W2" i="49"/>
  <c r="Y2" i="49"/>
  <c r="AA2" i="49"/>
  <c r="AC2" i="49"/>
  <c r="AE2" i="49"/>
  <c r="C20" i="49"/>
  <c r="G20" i="49"/>
  <c r="I20" i="49"/>
  <c r="K20" i="49"/>
  <c r="O20" i="49"/>
  <c r="Q20" i="49"/>
  <c r="S20" i="49"/>
  <c r="U20" i="49"/>
  <c r="W20" i="49"/>
  <c r="Y20" i="49"/>
  <c r="AA20" i="49"/>
  <c r="AC20" i="49"/>
  <c r="AE20" i="49"/>
  <c r="BE1" i="49"/>
  <c r="B28" i="46" s="1" a="1"/>
  <c r="B28" i="46" s="1"/>
  <c r="BE5" i="49"/>
  <c r="BE6" i="49"/>
  <c r="BE13" i="49"/>
  <c r="BE14" i="49"/>
  <c r="C64" i="8" a="1"/>
  <c r="C18" i="8" a="1"/>
  <c r="E18" i="8" a="1"/>
  <c r="E18" i="8" l="1"/>
  <c r="B49" i="33" a="1"/>
  <c r="B49" i="33" s="1"/>
  <c r="K39" i="8"/>
  <c r="B33" i="43" a="1"/>
  <c r="B33" i="43" s="1"/>
  <c r="B31" i="43" a="1"/>
  <c r="B31" i="43" s="1"/>
  <c r="D46" i="51"/>
  <c r="D23" i="51"/>
  <c r="D45" i="51"/>
  <c r="D44" i="51"/>
  <c r="D53" i="51"/>
  <c r="D52" i="51"/>
  <c r="D50" i="51"/>
  <c r="D49" i="51"/>
  <c r="C18" i="8"/>
  <c r="C64" i="8"/>
  <c r="D4" i="31" a="1"/>
  <c r="D4" i="31" s="1"/>
  <c r="D4" i="39" a="1"/>
  <c r="D4" i="39" s="1"/>
  <c r="D4" i="45" a="1"/>
  <c r="D4" i="45" s="1"/>
  <c r="D4" i="48" a="1"/>
  <c r="D4" i="48" s="1"/>
  <c r="B48" i="51" l="1"/>
  <c r="D48" i="51" s="1"/>
  <c r="C7" i="20"/>
  <c r="C9" i="20" s="1"/>
  <c r="F45" i="1"/>
  <c r="A45" i="1"/>
  <c r="B45" i="1"/>
  <c r="D45" i="1" s="1"/>
  <c r="E13" i="43"/>
  <c r="G4" i="48"/>
  <c r="K4" i="48"/>
  <c r="F4" i="48"/>
  <c r="C4" i="48"/>
  <c r="B23" i="46" a="1"/>
  <c r="B23" i="46" s="1"/>
  <c r="D23" i="46" s="1"/>
  <c r="B29" i="46" a="1"/>
  <c r="B29" i="46" s="1"/>
  <c r="D29" i="46" s="1"/>
  <c r="E12" i="46"/>
  <c r="E8" i="46"/>
  <c r="K4" i="45"/>
  <c r="B18" i="46" l="1" a="1"/>
  <c r="B18" i="46" s="1"/>
  <c r="D18" i="46" s="1"/>
  <c r="H4" i="4"/>
  <c r="D4" i="4" a="1"/>
  <c r="D4" i="4" s="1"/>
  <c r="B19" i="46" a="1"/>
  <c r="B19" i="46" s="1"/>
  <c r="D19" i="46" s="1"/>
  <c r="D28" i="46"/>
  <c r="L4" i="48" s="1"/>
  <c r="B27" i="46" a="1"/>
  <c r="B27" i="46" s="1"/>
  <c r="D27" i="46" s="1"/>
  <c r="B24" i="46" a="1"/>
  <c r="B24" i="46" s="1"/>
  <c r="D24" i="46" s="1"/>
  <c r="B26" i="46" a="1"/>
  <c r="B26" i="46" s="1"/>
  <c r="D26" i="46" s="1"/>
  <c r="B31" i="46" a="1"/>
  <c r="B31" i="46" s="1"/>
  <c r="D31" i="46" s="1"/>
  <c r="B20" i="46" a="1"/>
  <c r="B20" i="46" s="1"/>
  <c r="D20" i="46" s="1"/>
  <c r="B30" i="46" a="1"/>
  <c r="B30" i="46" s="1"/>
  <c r="D30" i="46" s="1"/>
  <c r="C12" i="48" l="1"/>
  <c r="C5" i="48"/>
  <c r="E5" i="48"/>
  <c r="C6" i="48"/>
  <c r="E6" i="48"/>
  <c r="C7" i="48"/>
  <c r="E7" i="48"/>
  <c r="C8" i="48"/>
  <c r="E8" i="48"/>
  <c r="C9" i="48"/>
  <c r="C10" i="48"/>
  <c r="C11" i="48"/>
  <c r="I4" i="48"/>
  <c r="E13" i="48"/>
  <c r="E21" i="48"/>
  <c r="E29" i="48"/>
  <c r="E37" i="48"/>
  <c r="E22" i="48"/>
  <c r="E38" i="48"/>
  <c r="E14" i="48"/>
  <c r="E30" i="48"/>
  <c r="E25" i="48"/>
  <c r="E41" i="48"/>
  <c r="E15" i="48"/>
  <c r="E23" i="48"/>
  <c r="E31" i="48"/>
  <c r="E39" i="48"/>
  <c r="E17" i="48"/>
  <c r="E33" i="48"/>
  <c r="E28" i="48"/>
  <c r="E16" i="48"/>
  <c r="E24" i="48"/>
  <c r="E32" i="48"/>
  <c r="E40" i="48"/>
  <c r="E36" i="48"/>
  <c r="E18" i="48"/>
  <c r="E26" i="48"/>
  <c r="E34" i="48"/>
  <c r="E42" i="48"/>
  <c r="E19" i="48"/>
  <c r="E27" i="48"/>
  <c r="E35" i="48"/>
  <c r="E20" i="48"/>
  <c r="C20" i="48"/>
  <c r="C28" i="48"/>
  <c r="C36" i="48"/>
  <c r="C13" i="48"/>
  <c r="C21" i="48"/>
  <c r="C29" i="48"/>
  <c r="C37" i="48"/>
  <c r="C14" i="48"/>
  <c r="C22" i="48"/>
  <c r="C30" i="48"/>
  <c r="C38" i="48"/>
  <c r="C19" i="48"/>
  <c r="C35" i="48"/>
  <c r="C15" i="48"/>
  <c r="C23" i="48"/>
  <c r="C31" i="48"/>
  <c r="C39" i="48"/>
  <c r="C16" i="48"/>
  <c r="C24" i="48"/>
  <c r="C32" i="48"/>
  <c r="C40" i="48"/>
  <c r="C17" i="48"/>
  <c r="C25" i="48"/>
  <c r="C33" i="48"/>
  <c r="C41" i="48"/>
  <c r="C18" i="48"/>
  <c r="C26" i="48"/>
  <c r="C34" i="48"/>
  <c r="C42" i="48"/>
  <c r="C27" i="48"/>
  <c r="G4" i="45"/>
  <c r="F4" i="45"/>
  <c r="C4" i="45"/>
  <c r="AF25" i="36" l="1"/>
  <c r="AF26" i="36"/>
  <c r="AF27" i="36"/>
  <c r="AF28" i="36"/>
  <c r="AF29" i="36"/>
  <c r="AF30" i="36"/>
  <c r="AF31" i="36"/>
  <c r="AF32" i="36"/>
  <c r="AF24" i="36"/>
  <c r="AF14" i="36"/>
  <c r="AF7" i="36"/>
  <c r="AF8" i="36"/>
  <c r="AF9" i="36"/>
  <c r="AF10" i="36"/>
  <c r="AF11" i="36"/>
  <c r="AF12" i="36"/>
  <c r="AF6" i="36"/>
  <c r="AF35" i="36"/>
  <c r="AF36" i="36"/>
  <c r="AF37" i="36"/>
  <c r="AF38" i="36"/>
  <c r="AF39" i="36"/>
  <c r="AF40" i="36"/>
  <c r="AF41" i="36"/>
  <c r="AF42" i="36"/>
  <c r="AF43" i="36"/>
  <c r="AF34" i="36"/>
  <c r="AF15" i="36"/>
  <c r="AF16" i="36"/>
  <c r="AF17" i="36"/>
  <c r="AF18" i="36"/>
  <c r="AF19" i="36"/>
  <c r="AF20" i="36"/>
  <c r="AF21" i="36"/>
  <c r="AF22" i="36"/>
  <c r="H15" i="27"/>
  <c r="AE7" i="24"/>
  <c r="B29" i="43" a="1"/>
  <c r="B29" i="43" s="1"/>
  <c r="D29" i="43" s="1"/>
  <c r="E8" i="43"/>
  <c r="B37" i="43" l="1" a="1"/>
  <c r="B37" i="43" s="1"/>
  <c r="B35" i="43" a="1"/>
  <c r="B35" i="43" s="1"/>
  <c r="B34" i="43" a="1"/>
  <c r="B34" i="43" s="1"/>
  <c r="B32" i="43" a="1"/>
  <c r="B32" i="43" s="1"/>
  <c r="B19" i="43" a="1"/>
  <c r="B19" i="43" s="1"/>
  <c r="B20" i="43" a="1"/>
  <c r="B20" i="43" s="1"/>
  <c r="B28" i="43" a="1"/>
  <c r="B28" i="43" s="1"/>
  <c r="B36" i="43" a="1"/>
  <c r="B36" i="43" s="1"/>
  <c r="D36" i="43" s="1"/>
  <c r="C42" i="18"/>
  <c r="E42" i="18" s="1"/>
  <c r="K4" i="42"/>
  <c r="G4" i="42"/>
  <c r="F4" i="42"/>
  <c r="D4" i="42" a="1"/>
  <c r="D4" i="42" s="1"/>
  <c r="C4" i="42"/>
  <c r="E12" i="40" l="1"/>
  <c r="B57" i="33" l="1"/>
  <c r="E8" i="40"/>
  <c r="D31" i="37"/>
  <c r="D32" i="37"/>
  <c r="D37" i="43" l="1"/>
  <c r="D35" i="43"/>
  <c r="D19" i="43"/>
  <c r="D34" i="43"/>
  <c r="D20" i="43"/>
  <c r="D31" i="43"/>
  <c r="D33" i="43"/>
  <c r="D32" i="43"/>
  <c r="D28" i="43"/>
  <c r="B28" i="40" a="1"/>
  <c r="B28" i="40" s="1"/>
  <c r="B27" i="40" a="1"/>
  <c r="B27" i="40" s="1"/>
  <c r="B24" i="40" a="1"/>
  <c r="B24" i="40" s="1"/>
  <c r="B19" i="40" a="1"/>
  <c r="B19" i="40" s="1"/>
  <c r="B18" i="40" a="1"/>
  <c r="B18" i="40" s="1"/>
  <c r="B25" i="40" a="1"/>
  <c r="B25" i="40" s="1"/>
  <c r="B22" i="40" a="1"/>
  <c r="B22" i="40" s="1"/>
  <c r="B29" i="40" a="1"/>
  <c r="B29" i="40" s="1"/>
  <c r="B33" i="37" a="1"/>
  <c r="B34" i="37" a="1"/>
  <c r="B33" i="37" l="1"/>
  <c r="D33" i="37" s="1"/>
  <c r="B34" i="37"/>
  <c r="D34" i="37" s="1"/>
  <c r="C12" i="45"/>
  <c r="E5" i="45"/>
  <c r="C5" i="45"/>
  <c r="E6" i="45"/>
  <c r="C6" i="45"/>
  <c r="E7" i="45"/>
  <c r="C7" i="45"/>
  <c r="E8" i="45"/>
  <c r="C8" i="45"/>
  <c r="C11" i="45"/>
  <c r="C9" i="45"/>
  <c r="C10" i="45"/>
  <c r="L4" i="45"/>
  <c r="I4" i="45"/>
  <c r="E18" i="45"/>
  <c r="E26" i="45"/>
  <c r="E34" i="45"/>
  <c r="E42" i="45"/>
  <c r="C19" i="45"/>
  <c r="C27" i="45"/>
  <c r="C35" i="45"/>
  <c r="E19" i="45"/>
  <c r="E27" i="45"/>
  <c r="E35" i="45"/>
  <c r="C36" i="45"/>
  <c r="E13" i="45"/>
  <c r="E21" i="45"/>
  <c r="E29" i="45"/>
  <c r="E37" i="45"/>
  <c r="C14" i="45"/>
  <c r="C22" i="45"/>
  <c r="C30" i="45"/>
  <c r="C38" i="45"/>
  <c r="C23" i="45"/>
  <c r="E24" i="45"/>
  <c r="C25" i="45"/>
  <c r="E17" i="45"/>
  <c r="C18" i="45"/>
  <c r="C42" i="45"/>
  <c r="C20" i="45"/>
  <c r="E36" i="45"/>
  <c r="C29" i="45"/>
  <c r="E14" i="45"/>
  <c r="E22" i="45"/>
  <c r="E30" i="45"/>
  <c r="E38" i="45"/>
  <c r="C15" i="45"/>
  <c r="C31" i="45"/>
  <c r="C39" i="45"/>
  <c r="E16" i="45"/>
  <c r="E40" i="45"/>
  <c r="C41" i="45"/>
  <c r="E33" i="45"/>
  <c r="C34" i="45"/>
  <c r="C28" i="45"/>
  <c r="E20" i="45"/>
  <c r="C13" i="45"/>
  <c r="C37" i="45"/>
  <c r="E15" i="45"/>
  <c r="E23" i="45"/>
  <c r="E31" i="45"/>
  <c r="E39" i="45"/>
  <c r="C16" i="45"/>
  <c r="C24" i="45"/>
  <c r="C32" i="45"/>
  <c r="C40" i="45"/>
  <c r="E32" i="45"/>
  <c r="C17" i="45"/>
  <c r="C33" i="45"/>
  <c r="E25" i="45"/>
  <c r="E41" i="45"/>
  <c r="C26" i="45"/>
  <c r="E28" i="45"/>
  <c r="C21" i="45"/>
  <c r="B34" i="7"/>
  <c r="U29" i="20"/>
  <c r="U28" i="20"/>
  <c r="U27" i="20"/>
  <c r="B37" i="7" l="1"/>
  <c r="D37" i="7" s="1"/>
  <c r="BE6" i="36"/>
  <c r="BF6" i="36"/>
  <c r="BG6" i="36"/>
  <c r="BH6" i="36"/>
  <c r="BI6" i="36"/>
  <c r="BJ6" i="36"/>
  <c r="BE7" i="36"/>
  <c r="BF7" i="36"/>
  <c r="BG7" i="36"/>
  <c r="BH7" i="36"/>
  <c r="BI7" i="36"/>
  <c r="BJ7" i="36"/>
  <c r="BE8" i="36"/>
  <c r="BF8" i="36"/>
  <c r="BG8" i="36"/>
  <c r="BH8" i="36"/>
  <c r="BI8" i="36"/>
  <c r="BJ8" i="36"/>
  <c r="BE9" i="36"/>
  <c r="BF9" i="36"/>
  <c r="BG9" i="36"/>
  <c r="BH9" i="36"/>
  <c r="BI9" i="36"/>
  <c r="BJ9" i="36"/>
  <c r="BE10" i="36"/>
  <c r="BF10" i="36"/>
  <c r="BG10" i="36"/>
  <c r="BH10" i="36"/>
  <c r="BI10" i="36"/>
  <c r="BJ10" i="36"/>
  <c r="BE11" i="36"/>
  <c r="BF11" i="36"/>
  <c r="BG11" i="36"/>
  <c r="BH11" i="36"/>
  <c r="BI11" i="36"/>
  <c r="BJ11" i="36"/>
  <c r="BE12" i="36"/>
  <c r="BF12" i="36"/>
  <c r="BG12" i="36"/>
  <c r="BH12" i="36"/>
  <c r="BI12" i="36"/>
  <c r="BJ12" i="36"/>
  <c r="BE13" i="36"/>
  <c r="BF13" i="36"/>
  <c r="BG13" i="36"/>
  <c r="BH13" i="36"/>
  <c r="BI13" i="36"/>
  <c r="BJ13" i="36"/>
  <c r="BE14" i="36"/>
  <c r="BF14" i="36"/>
  <c r="BG14" i="36"/>
  <c r="BH14" i="36"/>
  <c r="BI14" i="36"/>
  <c r="BJ14" i="36"/>
  <c r="BE15" i="36"/>
  <c r="BF15" i="36"/>
  <c r="BG15" i="36"/>
  <c r="BH15" i="36"/>
  <c r="BI15" i="36"/>
  <c r="BJ15" i="36"/>
  <c r="BE16" i="36"/>
  <c r="BF16" i="36"/>
  <c r="BG16" i="36"/>
  <c r="BH16" i="36"/>
  <c r="BI16" i="36"/>
  <c r="BJ16" i="36"/>
  <c r="BE17" i="36"/>
  <c r="BF17" i="36"/>
  <c r="BG17" i="36"/>
  <c r="BH17" i="36"/>
  <c r="BI17" i="36"/>
  <c r="BJ17" i="36"/>
  <c r="BE18" i="36"/>
  <c r="BF18" i="36"/>
  <c r="BG18" i="36"/>
  <c r="BH18" i="36"/>
  <c r="BI18" i="36"/>
  <c r="BJ18" i="36"/>
  <c r="BE19" i="36"/>
  <c r="BF19" i="36"/>
  <c r="BG19" i="36"/>
  <c r="BH19" i="36"/>
  <c r="BI19" i="36"/>
  <c r="BJ19" i="36"/>
  <c r="BE20" i="36"/>
  <c r="BF20" i="36"/>
  <c r="BG20" i="36"/>
  <c r="BH20" i="36"/>
  <c r="BI20" i="36"/>
  <c r="BJ20" i="36"/>
  <c r="BE21" i="36"/>
  <c r="BF21" i="36"/>
  <c r="BG21" i="36"/>
  <c r="BH21" i="36"/>
  <c r="BI21" i="36"/>
  <c r="BJ21" i="36"/>
  <c r="BE22" i="36"/>
  <c r="BF22" i="36"/>
  <c r="BG22" i="36"/>
  <c r="BH22" i="36"/>
  <c r="BI22" i="36"/>
  <c r="BJ22" i="36"/>
  <c r="BE23" i="36"/>
  <c r="BF23" i="36"/>
  <c r="BG23" i="36"/>
  <c r="BH23" i="36"/>
  <c r="BI23" i="36"/>
  <c r="BJ23" i="36"/>
  <c r="BE24" i="36"/>
  <c r="BF24" i="36"/>
  <c r="BG24" i="36"/>
  <c r="BH24" i="36"/>
  <c r="BI24" i="36"/>
  <c r="BJ24" i="36"/>
  <c r="BE25" i="36"/>
  <c r="BF25" i="36"/>
  <c r="BG25" i="36"/>
  <c r="BH25" i="36"/>
  <c r="BI25" i="36"/>
  <c r="BJ25" i="36"/>
  <c r="BE26" i="36"/>
  <c r="BF26" i="36"/>
  <c r="BG26" i="36"/>
  <c r="BH26" i="36"/>
  <c r="BI26" i="36"/>
  <c r="BJ26" i="36"/>
  <c r="BE27" i="36"/>
  <c r="BF27" i="36"/>
  <c r="BG27" i="36"/>
  <c r="BH27" i="36"/>
  <c r="BI27" i="36"/>
  <c r="BJ27" i="36"/>
  <c r="BE28" i="36"/>
  <c r="BF28" i="36"/>
  <c r="BG28" i="36"/>
  <c r="BH28" i="36"/>
  <c r="BI28" i="36"/>
  <c r="BJ28" i="36"/>
  <c r="BE29" i="36"/>
  <c r="BF29" i="36"/>
  <c r="BG29" i="36"/>
  <c r="BH29" i="36"/>
  <c r="BI29" i="36"/>
  <c r="BJ29" i="36"/>
  <c r="BE30" i="36"/>
  <c r="BF30" i="36"/>
  <c r="BG30" i="36"/>
  <c r="BH30" i="36"/>
  <c r="BI30" i="36"/>
  <c r="BJ30" i="36"/>
  <c r="BE31" i="36"/>
  <c r="BF31" i="36"/>
  <c r="BG31" i="36"/>
  <c r="BH31" i="36"/>
  <c r="BI31" i="36"/>
  <c r="BJ31" i="36"/>
  <c r="BE32" i="36"/>
  <c r="BF32" i="36"/>
  <c r="BG32" i="36"/>
  <c r="BH32" i="36"/>
  <c r="BI32" i="36"/>
  <c r="BJ32" i="36"/>
  <c r="BE33" i="36"/>
  <c r="BF33" i="36"/>
  <c r="BG33" i="36"/>
  <c r="BH33" i="36"/>
  <c r="BI33" i="36"/>
  <c r="BJ33" i="36"/>
  <c r="BE34" i="36"/>
  <c r="BF34" i="36"/>
  <c r="BG34" i="36"/>
  <c r="BH34" i="36"/>
  <c r="BI34" i="36"/>
  <c r="BJ34" i="36"/>
  <c r="BE35" i="36"/>
  <c r="BF35" i="36"/>
  <c r="BG35" i="36"/>
  <c r="BH35" i="36"/>
  <c r="BI35" i="36"/>
  <c r="BJ35" i="36"/>
  <c r="BE36" i="36"/>
  <c r="BF36" i="36"/>
  <c r="BG36" i="36"/>
  <c r="BH36" i="36"/>
  <c r="BI36" i="36"/>
  <c r="BJ36" i="36"/>
  <c r="BE37" i="36"/>
  <c r="BF37" i="36"/>
  <c r="BG37" i="36"/>
  <c r="BH37" i="36"/>
  <c r="BI37" i="36"/>
  <c r="BJ37" i="36"/>
  <c r="BE38" i="36"/>
  <c r="BF38" i="36"/>
  <c r="BG38" i="36"/>
  <c r="BH38" i="36"/>
  <c r="BI38" i="36"/>
  <c r="BJ38" i="36"/>
  <c r="BE39" i="36"/>
  <c r="BF39" i="36"/>
  <c r="BG39" i="36"/>
  <c r="BH39" i="36"/>
  <c r="BI39" i="36"/>
  <c r="BJ39" i="36"/>
  <c r="BE40" i="36"/>
  <c r="BF40" i="36"/>
  <c r="BG40" i="36"/>
  <c r="BH40" i="36"/>
  <c r="BI40" i="36"/>
  <c r="BJ40" i="36"/>
  <c r="BE41" i="36"/>
  <c r="BF41" i="36"/>
  <c r="BG41" i="36"/>
  <c r="BH41" i="36"/>
  <c r="BI41" i="36"/>
  <c r="BJ41" i="36"/>
  <c r="BE42" i="36"/>
  <c r="BF42" i="36"/>
  <c r="BG42" i="36"/>
  <c r="BH42" i="36"/>
  <c r="BI42" i="36"/>
  <c r="BJ42" i="36"/>
  <c r="BE43" i="36"/>
  <c r="BF43" i="36"/>
  <c r="BG43" i="36"/>
  <c r="BH43" i="36"/>
  <c r="BI43" i="36"/>
  <c r="BJ43" i="36"/>
  <c r="BK5" i="36"/>
  <c r="BJ5" i="36"/>
  <c r="BI5" i="36"/>
  <c r="BP5" i="36"/>
  <c r="BH5" i="36"/>
  <c r="BG5" i="36"/>
  <c r="BF5" i="36"/>
  <c r="BE5" i="36"/>
  <c r="BE2" i="36"/>
  <c r="BF2" i="36"/>
  <c r="BG2" i="36"/>
  <c r="BH2" i="36"/>
  <c r="BI2" i="36"/>
  <c r="BJ2" i="36"/>
  <c r="BB2" i="36"/>
  <c r="R2" i="36"/>
  <c r="P2" i="36"/>
  <c r="N2" i="36"/>
  <c r="L2" i="36"/>
  <c r="J2" i="36"/>
  <c r="H2" i="36"/>
  <c r="J5" i="37"/>
  <c r="J4" i="37"/>
  <c r="K4" i="39"/>
  <c r="G4" i="39"/>
  <c r="F4" i="39"/>
  <c r="C4" i="39"/>
  <c r="B20" i="37" a="1"/>
  <c r="B20" i="37" s="1"/>
  <c r="D20" i="37" s="1"/>
  <c r="E13" i="37"/>
  <c r="E8" i="37"/>
  <c r="B37" i="37" l="1" a="1"/>
  <c r="B37" i="37" s="1"/>
  <c r="D37" i="37" s="1"/>
  <c r="E6" i="39" s="1"/>
  <c r="D24" i="40"/>
  <c r="D25" i="40"/>
  <c r="D26" i="40"/>
  <c r="D27" i="40"/>
  <c r="D19" i="40"/>
  <c r="D18" i="40"/>
  <c r="D29" i="40"/>
  <c r="D28" i="40"/>
  <c r="B41" i="37" a="1"/>
  <c r="B41" i="37" s="1"/>
  <c r="D41" i="37" s="1"/>
  <c r="B40" i="37" a="1"/>
  <c r="B40" i="37" s="1"/>
  <c r="D40" i="37" s="1"/>
  <c r="B36" i="37" a="1"/>
  <c r="B36" i="37" s="1"/>
  <c r="D36" i="37" s="1"/>
  <c r="D38" i="37"/>
  <c r="B39" i="37" a="1"/>
  <c r="B39" i="37" s="1"/>
  <c r="D39" i="37" s="1"/>
  <c r="B19" i="37" a="1"/>
  <c r="B19" i="37" s="1"/>
  <c r="D19" i="37" s="1"/>
  <c r="C6" i="39" l="1"/>
  <c r="E8" i="39"/>
  <c r="C11" i="39"/>
  <c r="C9" i="39"/>
  <c r="C10" i="39"/>
  <c r="C12" i="39"/>
  <c r="D42" i="39" a="1"/>
  <c r="D42" i="39" s="1"/>
  <c r="D36" i="39" a="1"/>
  <c r="D36" i="39" s="1"/>
  <c r="D40" i="39" a="1"/>
  <c r="D40" i="39" s="1"/>
  <c r="D41" i="39" a="1"/>
  <c r="D41" i="39" s="1"/>
  <c r="D35" i="39" a="1"/>
  <c r="D35" i="39" s="1"/>
  <c r="D39" i="39" a="1"/>
  <c r="D39" i="39" s="1"/>
  <c r="D34" i="39" a="1"/>
  <c r="D34" i="39" s="1"/>
  <c r="D33" i="39" a="1"/>
  <c r="D33" i="39" s="1"/>
  <c r="D38" i="39" a="1"/>
  <c r="D38" i="39" s="1"/>
  <c r="D37" i="39" a="1"/>
  <c r="D37" i="39" s="1"/>
  <c r="I39" i="39"/>
  <c r="C8" i="39"/>
  <c r="C5" i="39"/>
  <c r="E7" i="39"/>
  <c r="E5" i="39"/>
  <c r="C7" i="39"/>
  <c r="E32" i="39"/>
  <c r="E16" i="39"/>
  <c r="I40" i="39"/>
  <c r="E41" i="39"/>
  <c r="H36" i="39"/>
  <c r="J39" i="39"/>
  <c r="H38" i="39"/>
  <c r="H40" i="39"/>
  <c r="C14" i="39"/>
  <c r="C32" i="39"/>
  <c r="C36" i="39"/>
  <c r="G41" i="39"/>
  <c r="C41" i="39"/>
  <c r="E33" i="39"/>
  <c r="J38" i="39"/>
  <c r="C35" i="39"/>
  <c r="I34" i="39"/>
  <c r="J40" i="39"/>
  <c r="C37" i="39"/>
  <c r="C24" i="39"/>
  <c r="E24" i="39"/>
  <c r="J37" i="39"/>
  <c r="F33" i="39"/>
  <c r="C20" i="39"/>
  <c r="H37" i="39"/>
  <c r="F35" i="39"/>
  <c r="E30" i="39"/>
  <c r="C22" i="39"/>
  <c r="L38" i="39"/>
  <c r="K38" i="39"/>
  <c r="F41" i="39"/>
  <c r="I37" i="39"/>
  <c r="G34" i="39"/>
  <c r="C15" i="39"/>
  <c r="G40" i="39"/>
  <c r="J42" i="39"/>
  <c r="C18" i="39"/>
  <c r="C39" i="39"/>
  <c r="E40" i="39"/>
  <c r="E18" i="39"/>
  <c r="E28" i="39"/>
  <c r="G42" i="39"/>
  <c r="I36" i="39"/>
  <c r="H35" i="39"/>
  <c r="E20" i="39"/>
  <c r="J36" i="39"/>
  <c r="C26" i="39"/>
  <c r="F42" i="39"/>
  <c r="H34" i="39"/>
  <c r="C34" i="39"/>
  <c r="E34" i="39"/>
  <c r="C23" i="39"/>
  <c r="E19" i="39"/>
  <c r="H42" i="39"/>
  <c r="C17" i="39"/>
  <c r="F40" i="39"/>
  <c r="I33" i="39"/>
  <c r="E42" i="39"/>
  <c r="E27" i="39"/>
  <c r="C13" i="39"/>
  <c r="G38" i="39"/>
  <c r="I38" i="39"/>
  <c r="G36" i="39"/>
  <c r="L34" i="39"/>
  <c r="G33" i="39"/>
  <c r="C25" i="39"/>
  <c r="E25" i="39"/>
  <c r="I41" i="39"/>
  <c r="C19" i="39"/>
  <c r="C31" i="39"/>
  <c r="I35" i="39"/>
  <c r="C21" i="39"/>
  <c r="F36" i="39"/>
  <c r="E31" i="39"/>
  <c r="E21" i="39"/>
  <c r="F37" i="39"/>
  <c r="F39" i="39"/>
  <c r="C33" i="39"/>
  <c r="E17" i="39"/>
  <c r="C42" i="39"/>
  <c r="E26" i="39"/>
  <c r="C28" i="39"/>
  <c r="I42" i="39"/>
  <c r="E35" i="39"/>
  <c r="E36" i="39"/>
  <c r="E29" i="39"/>
  <c r="E22" i="39"/>
  <c r="K36" i="39"/>
  <c r="C27" i="39"/>
  <c r="G35" i="39"/>
  <c r="F34" i="39"/>
  <c r="G37" i="39"/>
  <c r="C29" i="39"/>
  <c r="J41" i="39"/>
  <c r="C38" i="39"/>
  <c r="E39" i="39"/>
  <c r="E13" i="39"/>
  <c r="C30" i="39"/>
  <c r="E38" i="39"/>
  <c r="E15" i="39"/>
  <c r="L36" i="39"/>
  <c r="L42" i="39"/>
  <c r="K42" i="39"/>
  <c r="C40" i="39"/>
  <c r="L33" i="39"/>
  <c r="K35" i="39"/>
  <c r="J33" i="39"/>
  <c r="E37" i="39"/>
  <c r="J34" i="39"/>
  <c r="J35" i="39"/>
  <c r="H33" i="39"/>
  <c r="K34" i="39"/>
  <c r="L40" i="39"/>
  <c r="L41" i="39"/>
  <c r="H41" i="39"/>
  <c r="F38" i="39"/>
  <c r="L37" i="39"/>
  <c r="L39" i="39"/>
  <c r="K40" i="39"/>
  <c r="K33" i="39"/>
  <c r="E14" i="39"/>
  <c r="H39" i="39"/>
  <c r="G39" i="39"/>
  <c r="E23" i="39"/>
  <c r="C16" i="39"/>
  <c r="K37" i="39"/>
  <c r="K39" i="39"/>
  <c r="K41" i="39"/>
  <c r="L35" i="39"/>
  <c r="L30" i="42"/>
  <c r="L38" i="42"/>
  <c r="K23" i="42"/>
  <c r="K31" i="42"/>
  <c r="K39" i="42"/>
  <c r="J24" i="42"/>
  <c r="J32" i="42"/>
  <c r="J40" i="42"/>
  <c r="I25" i="42"/>
  <c r="I33" i="42"/>
  <c r="I41" i="42"/>
  <c r="G26" i="42"/>
  <c r="G34" i="42"/>
  <c r="G42" i="42"/>
  <c r="F27" i="42"/>
  <c r="F35" i="42"/>
  <c r="E20" i="42"/>
  <c r="E28" i="42"/>
  <c r="E36" i="42"/>
  <c r="L23" i="42"/>
  <c r="L31" i="42"/>
  <c r="L39" i="42"/>
  <c r="K24" i="42"/>
  <c r="K32" i="42"/>
  <c r="K40" i="42"/>
  <c r="J25" i="42"/>
  <c r="J33" i="42"/>
  <c r="J41" i="42"/>
  <c r="I26" i="42"/>
  <c r="I34" i="42"/>
  <c r="I42" i="42"/>
  <c r="G27" i="42"/>
  <c r="G35" i="42"/>
  <c r="F28" i="42"/>
  <c r="F36" i="42"/>
  <c r="E5" i="42"/>
  <c r="E13" i="42"/>
  <c r="E21" i="42"/>
  <c r="E29" i="42"/>
  <c r="E37" i="42"/>
  <c r="L24" i="42"/>
  <c r="L32" i="42"/>
  <c r="L40" i="42"/>
  <c r="K25" i="42"/>
  <c r="K33" i="42"/>
  <c r="K41" i="42"/>
  <c r="J26" i="42"/>
  <c r="J34" i="42"/>
  <c r="J42" i="42"/>
  <c r="I27" i="42"/>
  <c r="I35" i="42"/>
  <c r="G28" i="42"/>
  <c r="G36" i="42"/>
  <c r="F29" i="42"/>
  <c r="F37" i="42"/>
  <c r="E6" i="42"/>
  <c r="E14" i="42"/>
  <c r="E22" i="42"/>
  <c r="E30" i="42"/>
  <c r="E38" i="42"/>
  <c r="L25" i="42"/>
  <c r="L33" i="42"/>
  <c r="L41" i="42"/>
  <c r="K26" i="42"/>
  <c r="K34" i="42"/>
  <c r="K42" i="42"/>
  <c r="J27" i="42"/>
  <c r="J35" i="42"/>
  <c r="I28" i="42"/>
  <c r="I36" i="42"/>
  <c r="G29" i="42"/>
  <c r="G37" i="42"/>
  <c r="F30" i="42"/>
  <c r="F38" i="42"/>
  <c r="E7" i="42"/>
  <c r="E15" i="42"/>
  <c r="E23" i="42"/>
  <c r="E31" i="42"/>
  <c r="E39" i="42"/>
  <c r="L26" i="42"/>
  <c r="L34" i="42"/>
  <c r="L42" i="42"/>
  <c r="K27" i="42"/>
  <c r="K35" i="42"/>
  <c r="J28" i="42"/>
  <c r="J36" i="42"/>
  <c r="I29" i="42"/>
  <c r="I37" i="42"/>
  <c r="G30" i="42"/>
  <c r="G38" i="42"/>
  <c r="F23" i="42"/>
  <c r="F31" i="42"/>
  <c r="F39" i="42"/>
  <c r="E8" i="42"/>
  <c r="E16" i="42"/>
  <c r="E24" i="42"/>
  <c r="E32" i="42"/>
  <c r="E40" i="42"/>
  <c r="L27" i="42"/>
  <c r="L35" i="42"/>
  <c r="K28" i="42"/>
  <c r="K36" i="42"/>
  <c r="J29" i="42"/>
  <c r="J37" i="42"/>
  <c r="I30" i="42"/>
  <c r="I38" i="42"/>
  <c r="G23" i="42"/>
  <c r="G31" i="42"/>
  <c r="G39" i="42"/>
  <c r="F24" i="42"/>
  <c r="F32" i="42"/>
  <c r="F40" i="42"/>
  <c r="E17" i="42"/>
  <c r="E25" i="42"/>
  <c r="E33" i="42"/>
  <c r="E41" i="42"/>
  <c r="L28" i="42"/>
  <c r="L36" i="42"/>
  <c r="K29" i="42"/>
  <c r="K37" i="42"/>
  <c r="J30" i="42"/>
  <c r="J38" i="42"/>
  <c r="I23" i="42"/>
  <c r="K30" i="42"/>
  <c r="G41" i="42"/>
  <c r="F33" i="42"/>
  <c r="E19" i="42"/>
  <c r="E26" i="42"/>
  <c r="K38" i="42"/>
  <c r="F34" i="42"/>
  <c r="E42" i="42"/>
  <c r="G33" i="42"/>
  <c r="G40" i="42"/>
  <c r="I24" i="42"/>
  <c r="F41" i="42"/>
  <c r="E27" i="42"/>
  <c r="L29" i="42"/>
  <c r="I31" i="42"/>
  <c r="G24" i="42"/>
  <c r="F42" i="42"/>
  <c r="E34" i="42"/>
  <c r="L37" i="42"/>
  <c r="I32" i="42"/>
  <c r="G25" i="42"/>
  <c r="E35" i="42"/>
  <c r="J23" i="42"/>
  <c r="I39" i="42"/>
  <c r="G32" i="42"/>
  <c r="F26" i="42"/>
  <c r="J31" i="42"/>
  <c r="I40" i="42"/>
  <c r="F25" i="42"/>
  <c r="J39" i="42"/>
  <c r="E18" i="42"/>
  <c r="L4" i="42"/>
  <c r="I4" i="42"/>
  <c r="D27" i="42" a="1"/>
  <c r="D27" i="42" s="1"/>
  <c r="D32" i="42" a="1"/>
  <c r="D32" i="42" s="1"/>
  <c r="D37" i="42" a="1"/>
  <c r="D37" i="42" s="1"/>
  <c r="C16" i="42"/>
  <c r="C24" i="42"/>
  <c r="H28" i="42"/>
  <c r="C32" i="42"/>
  <c r="H36" i="42"/>
  <c r="C40" i="42"/>
  <c r="C15" i="42"/>
  <c r="D38" i="42" a="1"/>
  <c r="D38" i="42" s="1"/>
  <c r="C8" i="42"/>
  <c r="C12" i="42"/>
  <c r="C17" i="42"/>
  <c r="C25" i="42"/>
  <c r="H29" i="42"/>
  <c r="C33" i="42"/>
  <c r="H37" i="42"/>
  <c r="C41" i="42"/>
  <c r="D23" i="42" a="1"/>
  <c r="D23" i="42" s="1"/>
  <c r="D28" i="42" a="1"/>
  <c r="D28" i="42" s="1"/>
  <c r="D33" i="42" a="1"/>
  <c r="D33" i="42" s="1"/>
  <c r="D39" i="42" a="1"/>
  <c r="D39" i="42" s="1"/>
  <c r="C18" i="42"/>
  <c r="C26" i="42"/>
  <c r="H30" i="42"/>
  <c r="C34" i="42"/>
  <c r="H38" i="42"/>
  <c r="C42" i="42"/>
  <c r="D42" i="42" a="1"/>
  <c r="D42" i="42" s="1"/>
  <c r="D34" i="42" a="1"/>
  <c r="D34" i="42" s="1"/>
  <c r="C5" i="42"/>
  <c r="C9" i="42"/>
  <c r="C13" i="42"/>
  <c r="C19" i="42"/>
  <c r="H23" i="42"/>
  <c r="C27" i="42"/>
  <c r="H31" i="42"/>
  <c r="C35" i="42"/>
  <c r="H39" i="42"/>
  <c r="D26" i="42" a="1"/>
  <c r="D26" i="42" s="1"/>
  <c r="H35" i="42"/>
  <c r="D24" i="42" a="1"/>
  <c r="D24" i="42" s="1"/>
  <c r="D29" i="42" a="1"/>
  <c r="D29" i="42" s="1"/>
  <c r="D35" i="42" a="1"/>
  <c r="D35" i="42" s="1"/>
  <c r="D40" i="42" a="1"/>
  <c r="D40" i="42" s="1"/>
  <c r="C20" i="42"/>
  <c r="H24" i="42"/>
  <c r="C28" i="42"/>
  <c r="H32" i="42"/>
  <c r="C36" i="42"/>
  <c r="H40" i="42"/>
  <c r="C7" i="42"/>
  <c r="H27" i="42"/>
  <c r="C39" i="42"/>
  <c r="D30" i="42" a="1"/>
  <c r="D30" i="42" s="1"/>
  <c r="C6" i="42"/>
  <c r="C10" i="42"/>
  <c r="C14" i="42"/>
  <c r="C21" i="42"/>
  <c r="H25" i="42"/>
  <c r="C29" i="42"/>
  <c r="H33" i="42"/>
  <c r="C37" i="42"/>
  <c r="H41" i="42"/>
  <c r="C23" i="42"/>
  <c r="D25" i="42" a="1"/>
  <c r="D25" i="42" s="1"/>
  <c r="D31" i="42" a="1"/>
  <c r="D31" i="42" s="1"/>
  <c r="D36" i="42" a="1"/>
  <c r="D36" i="42" s="1"/>
  <c r="D41" i="42" a="1"/>
  <c r="D41" i="42" s="1"/>
  <c r="C22" i="42"/>
  <c r="H26" i="42"/>
  <c r="C30" i="42"/>
  <c r="H34" i="42"/>
  <c r="C38" i="42"/>
  <c r="H42" i="42"/>
  <c r="C11" i="42"/>
  <c r="C31" i="42"/>
  <c r="L4" i="39"/>
  <c r="I4" i="39"/>
  <c r="F4" i="31" l="1"/>
  <c r="Q25" i="2"/>
  <c r="J18" i="33" s="1"/>
  <c r="Q24" i="2"/>
  <c r="J17" i="33" s="1"/>
  <c r="Q23" i="2"/>
  <c r="J16" i="33" s="1"/>
  <c r="Q22" i="2"/>
  <c r="J15" i="33" s="1"/>
  <c r="Q21" i="2"/>
  <c r="J14" i="33" s="1"/>
  <c r="Q20" i="2"/>
  <c r="J13" i="33" s="1"/>
  <c r="Q19" i="2"/>
  <c r="J12" i="33" s="1"/>
  <c r="Q18" i="2"/>
  <c r="J11" i="33" s="1"/>
  <c r="Q17" i="2"/>
  <c r="J10" i="33" s="1"/>
  <c r="J8" i="33"/>
  <c r="D49" i="33"/>
  <c r="Q13" i="2"/>
  <c r="J6" i="33" s="1"/>
  <c r="Q11" i="2" l="1"/>
  <c r="E14" i="33" s="1"/>
  <c r="B27" i="33" a="1"/>
  <c r="B27" i="33" s="1"/>
  <c r="Q14" i="2"/>
  <c r="J7" i="33" s="1"/>
  <c r="B52" i="33" a="1"/>
  <c r="B52" i="33" s="1"/>
  <c r="D52" i="33" s="1"/>
  <c r="B51" i="33" a="1"/>
  <c r="B51" i="33" s="1"/>
  <c r="D51" i="33" s="1"/>
  <c r="B50" i="33" a="1"/>
  <c r="B50" i="33" s="1"/>
  <c r="D50" i="33" s="1"/>
  <c r="B54" i="33" a="1"/>
  <c r="B54" i="33" s="1"/>
  <c r="D54" i="33" s="1"/>
  <c r="B53" i="33" a="1"/>
  <c r="B53" i="33" s="1"/>
  <c r="D53" i="33" s="1"/>
  <c r="B23" i="33" a="1"/>
  <c r="B23" i="33" s="1"/>
  <c r="B43" i="33" a="1"/>
  <c r="B43" i="33" s="1"/>
  <c r="B48" i="33" a="1"/>
  <c r="B48" i="33" s="1"/>
  <c r="D48" i="33" s="1"/>
  <c r="B20" i="33" a="1"/>
  <c r="B20" i="33" s="1"/>
  <c r="B22" i="33" a="1"/>
  <c r="B22" i="33" s="1"/>
  <c r="B47" i="33" a="1"/>
  <c r="B47" i="33" s="1"/>
  <c r="B33" i="33" a="1"/>
  <c r="B33" i="33" s="1"/>
  <c r="B21" i="33" a="1"/>
  <c r="B21" i="33" s="1"/>
  <c r="B48" i="1"/>
  <c r="D48" i="1" s="1"/>
  <c r="B44" i="27"/>
  <c r="D36" i="31" l="1" a="1"/>
  <c r="D36" i="31" s="1"/>
  <c r="D29" i="31" a="1"/>
  <c r="D29" i="31" s="1"/>
  <c r="D41" i="31" a="1"/>
  <c r="D41" i="31" s="1"/>
  <c r="D40" i="31" a="1"/>
  <c r="D40" i="31" s="1"/>
  <c r="D34" i="31" a="1"/>
  <c r="D34" i="31" s="1"/>
  <c r="D39" i="31" a="1"/>
  <c r="D39" i="31" s="1"/>
  <c r="D33" i="31" a="1"/>
  <c r="D33" i="31" s="1"/>
  <c r="D32" i="31" a="1"/>
  <c r="D32" i="31" s="1"/>
  <c r="D31" i="31" a="1"/>
  <c r="D31" i="31" s="1"/>
  <c r="D38" i="31" a="1"/>
  <c r="D38" i="31" s="1"/>
  <c r="D37" i="31" a="1"/>
  <c r="D37" i="31" s="1"/>
  <c r="D30" i="31" a="1"/>
  <c r="D30" i="31" s="1"/>
  <c r="D42" i="31" a="1"/>
  <c r="D42" i="31" s="1"/>
  <c r="D35" i="31" a="1"/>
  <c r="D35" i="31" s="1"/>
  <c r="D28" i="31" a="1"/>
  <c r="D28" i="31" s="1"/>
  <c r="J4" i="33"/>
  <c r="H138" i="8" s="1"/>
  <c r="E5" i="31"/>
  <c r="E6" i="31"/>
  <c r="E8" i="31"/>
  <c r="E7" i="31"/>
  <c r="E13" i="31"/>
  <c r="E21" i="31"/>
  <c r="F33" i="31"/>
  <c r="E27" i="31"/>
  <c r="E29" i="31"/>
  <c r="F34" i="31"/>
  <c r="E40" i="31"/>
  <c r="E28" i="31"/>
  <c r="F38" i="31"/>
  <c r="E30" i="31"/>
  <c r="E19" i="31"/>
  <c r="E15" i="31"/>
  <c r="E23" i="31"/>
  <c r="F36" i="31"/>
  <c r="F42" i="31"/>
  <c r="E31" i="31"/>
  <c r="E35" i="31"/>
  <c r="F39" i="31"/>
  <c r="E32" i="31"/>
  <c r="E17" i="31"/>
  <c r="F40" i="31"/>
  <c r="E36" i="31"/>
  <c r="E34" i="31"/>
  <c r="E42" i="31"/>
  <c r="F31" i="31"/>
  <c r="E39" i="31"/>
  <c r="E16" i="31"/>
  <c r="E37" i="31"/>
  <c r="F30" i="31"/>
  <c r="E18" i="31"/>
  <c r="E33" i="31"/>
  <c r="E14" i="31"/>
  <c r="E22" i="31"/>
  <c r="F35" i="31"/>
  <c r="F41" i="31"/>
  <c r="F29" i="31"/>
  <c r="E24" i="31"/>
  <c r="E20" i="31"/>
  <c r="F37" i="31"/>
  <c r="E26" i="31"/>
  <c r="E25" i="31"/>
  <c r="E41" i="31"/>
  <c r="E38" i="31"/>
  <c r="F28" i="31"/>
  <c r="F32" i="31"/>
  <c r="A10" i="23"/>
  <c r="C10" i="23"/>
  <c r="A11" i="23"/>
  <c r="C11" i="23"/>
  <c r="A12" i="23"/>
  <c r="C12" i="23"/>
  <c r="A13" i="23"/>
  <c r="C13" i="23"/>
  <c r="A14" i="23"/>
  <c r="C14" i="23"/>
  <c r="A15" i="23"/>
  <c r="C15" i="23"/>
  <c r="A16" i="23"/>
  <c r="C16" i="23"/>
  <c r="A17" i="23"/>
  <c r="C17" i="23"/>
  <c r="A18" i="23"/>
  <c r="C18" i="23"/>
  <c r="A19" i="23"/>
  <c r="C19" i="23"/>
  <c r="A20" i="23"/>
  <c r="C20" i="23"/>
  <c r="A21" i="23"/>
  <c r="C21" i="23"/>
  <c r="A22" i="23"/>
  <c r="C22" i="23"/>
  <c r="A23" i="23"/>
  <c r="C23" i="23"/>
  <c r="A24" i="23"/>
  <c r="C24" i="23"/>
  <c r="A25" i="23"/>
  <c r="C25" i="23"/>
  <c r="A26" i="23"/>
  <c r="C26" i="23"/>
  <c r="A27" i="23"/>
  <c r="C27" i="23"/>
  <c r="A28" i="23"/>
  <c r="C28" i="23"/>
  <c r="A29" i="23"/>
  <c r="C29" i="23"/>
  <c r="A30" i="23"/>
  <c r="C30" i="23"/>
  <c r="A31" i="23"/>
  <c r="C31" i="23"/>
  <c r="A32" i="23"/>
  <c r="C32" i="23"/>
  <c r="A33" i="23"/>
  <c r="C33" i="23"/>
  <c r="A34" i="23"/>
  <c r="C34" i="23"/>
  <c r="A35" i="23"/>
  <c r="C35" i="23"/>
  <c r="A36" i="23"/>
  <c r="C36" i="23"/>
  <c r="A37" i="23"/>
  <c r="C37" i="23"/>
  <c r="A38" i="23"/>
  <c r="C38" i="23"/>
  <c r="A39" i="23"/>
  <c r="C39" i="23"/>
  <c r="A40" i="23"/>
  <c r="C40" i="23"/>
  <c r="A41" i="23"/>
  <c r="C41" i="23"/>
  <c r="A42" i="23"/>
  <c r="C42" i="23"/>
  <c r="A43" i="23"/>
  <c r="C43" i="23"/>
  <c r="A44" i="23"/>
  <c r="C44" i="23"/>
  <c r="A45" i="23"/>
  <c r="C45" i="23"/>
  <c r="A46" i="23"/>
  <c r="C46" i="23"/>
  <c r="A47" i="23"/>
  <c r="C47" i="23"/>
  <c r="A48" i="23"/>
  <c r="C48" i="23"/>
  <c r="A49" i="23"/>
  <c r="C49" i="23"/>
  <c r="A50" i="23"/>
  <c r="C50" i="23"/>
  <c r="A51" i="23"/>
  <c r="C51" i="23"/>
  <c r="A52" i="23"/>
  <c r="C52" i="23"/>
  <c r="A53" i="23"/>
  <c r="C53" i="23"/>
  <c r="A54" i="23"/>
  <c r="C54" i="23"/>
  <c r="A55" i="23"/>
  <c r="C55" i="23"/>
  <c r="A56" i="23"/>
  <c r="C56" i="23"/>
  <c r="A57" i="23"/>
  <c r="C57" i="23"/>
  <c r="A58" i="23"/>
  <c r="C58" i="23"/>
  <c r="F47" i="23"/>
  <c r="F46" i="23"/>
  <c r="F12" i="23"/>
  <c r="F11" i="23"/>
  <c r="H46" i="23"/>
  <c r="I46" i="23" s="1"/>
  <c r="H47" i="23"/>
  <c r="I47" i="23" s="1"/>
  <c r="H48" i="23"/>
  <c r="I48" i="23" s="1"/>
  <c r="H49" i="23"/>
  <c r="I49" i="23" s="1"/>
  <c r="H50" i="23"/>
  <c r="I50" i="23" s="1"/>
  <c r="H51" i="23"/>
  <c r="I51" i="23" s="1"/>
  <c r="H52" i="23"/>
  <c r="I52" i="23" s="1"/>
  <c r="H53" i="23"/>
  <c r="I53" i="23" s="1"/>
  <c r="H54" i="23"/>
  <c r="I54" i="23" s="1"/>
  <c r="F31" i="23"/>
  <c r="F30" i="23"/>
  <c r="G88" i="8"/>
  <c r="E8" i="33" l="1"/>
  <c r="H58" i="23" l="1"/>
  <c r="I58" i="23" s="1"/>
  <c r="H56" i="23"/>
  <c r="I56" i="23" s="1"/>
  <c r="H55" i="23"/>
  <c r="I55" i="23" s="1"/>
  <c r="H45" i="23"/>
  <c r="I45" i="23" s="1"/>
  <c r="H43" i="23"/>
  <c r="I43" i="23" s="1"/>
  <c r="H44" i="23"/>
  <c r="I44" i="23" s="1"/>
  <c r="H42" i="23"/>
  <c r="I42" i="23" s="1"/>
  <c r="H39" i="23"/>
  <c r="I39" i="23" s="1"/>
  <c r="H40" i="23"/>
  <c r="I40" i="23" s="1"/>
  <c r="H38" i="23"/>
  <c r="I38" i="23" s="1"/>
  <c r="H29" i="23"/>
  <c r="I29" i="23" s="1"/>
  <c r="H30" i="23"/>
  <c r="I30" i="23" s="1"/>
  <c r="H31" i="23"/>
  <c r="I31" i="23" s="1"/>
  <c r="H28" i="23"/>
  <c r="I28" i="23" s="1"/>
  <c r="H26" i="23"/>
  <c r="I26" i="23" s="1"/>
  <c r="H27" i="23"/>
  <c r="I27" i="23" s="1"/>
  <c r="H25" i="23"/>
  <c r="I25" i="23" s="1"/>
  <c r="H23" i="23"/>
  <c r="I23" i="23" s="1"/>
  <c r="H22" i="23"/>
  <c r="I22" i="23" s="1"/>
  <c r="H21" i="23"/>
  <c r="I21" i="23" s="1"/>
  <c r="H20" i="23"/>
  <c r="I20" i="23" s="1"/>
  <c r="H18" i="23"/>
  <c r="I18" i="23" s="1"/>
  <c r="H19" i="23"/>
  <c r="I19" i="23" s="1"/>
  <c r="H32" i="23"/>
  <c r="I32" i="23" s="1"/>
  <c r="H36" i="23"/>
  <c r="I36" i="23" s="1"/>
  <c r="H34" i="23"/>
  <c r="I34" i="23" s="1"/>
  <c r="H37" i="23"/>
  <c r="I37" i="23" s="1"/>
  <c r="H35" i="23"/>
  <c r="I35" i="23" s="1"/>
  <c r="H33" i="23"/>
  <c r="I33" i="23" s="1"/>
  <c r="F37" i="23"/>
  <c r="F35" i="23"/>
  <c r="F33" i="23"/>
  <c r="H57" i="23"/>
  <c r="I57" i="23" s="1"/>
  <c r="H41" i="23"/>
  <c r="I41" i="23" s="1"/>
  <c r="H24" i="23"/>
  <c r="I24" i="23" s="1"/>
  <c r="H17" i="23"/>
  <c r="I17" i="23" s="1"/>
  <c r="H15" i="23"/>
  <c r="I15" i="23" s="1"/>
  <c r="H10" i="23"/>
  <c r="I10" i="23" s="1"/>
  <c r="H11" i="23"/>
  <c r="I11" i="23" s="1"/>
  <c r="H12" i="23"/>
  <c r="I12" i="23" s="1"/>
  <c r="H13" i="23"/>
  <c r="I13" i="23" s="1"/>
  <c r="A9" i="23"/>
  <c r="AT6" i="36" l="1"/>
  <c r="AT7" i="36"/>
  <c r="AT8" i="36"/>
  <c r="AT9" i="36"/>
  <c r="AT10" i="36"/>
  <c r="AT11" i="36"/>
  <c r="AT12" i="36"/>
  <c r="AT13" i="36"/>
  <c r="AT5" i="36"/>
  <c r="AR25" i="36"/>
  <c r="AR14" i="36"/>
  <c r="AR15" i="36"/>
  <c r="AR16" i="36"/>
  <c r="AR17" i="36"/>
  <c r="AR18" i="36"/>
  <c r="AR19" i="36"/>
  <c r="AR20" i="36"/>
  <c r="AR21" i="36"/>
  <c r="AR22" i="36"/>
  <c r="AR23" i="36"/>
  <c r="AR24" i="36"/>
  <c r="AR26" i="36"/>
  <c r="AR27" i="36"/>
  <c r="AR28" i="36"/>
  <c r="AR29" i="36"/>
  <c r="AR30" i="36"/>
  <c r="AR31" i="36"/>
  <c r="AR32" i="36"/>
  <c r="AR33" i="36"/>
  <c r="AR34" i="36"/>
  <c r="AR35" i="36"/>
  <c r="AR36" i="36"/>
  <c r="AR37" i="36"/>
  <c r="AR38" i="36"/>
  <c r="AR39" i="36"/>
  <c r="AR40" i="36"/>
  <c r="AR41" i="36"/>
  <c r="AR42" i="36"/>
  <c r="AR43" i="36"/>
  <c r="BW5" i="36"/>
  <c r="BB6" i="36" l="1"/>
  <c r="BD5" i="36"/>
  <c r="BB5" i="36"/>
  <c r="BC6" i="36"/>
  <c r="BD6" i="36"/>
  <c r="BK6" i="36"/>
  <c r="BL6" i="36"/>
  <c r="BM6" i="36"/>
  <c r="BN6" i="36"/>
  <c r="BO6" i="36"/>
  <c r="BP6" i="36"/>
  <c r="BQ6" i="36"/>
  <c r="BR6" i="36"/>
  <c r="BS6" i="36"/>
  <c r="BT6" i="36"/>
  <c r="BU6" i="36"/>
  <c r="BV6" i="36"/>
  <c r="BW6" i="36"/>
  <c r="BB7" i="36"/>
  <c r="BC7" i="36"/>
  <c r="BD7" i="36"/>
  <c r="BK7" i="36"/>
  <c r="BL7" i="36"/>
  <c r="BM7" i="36"/>
  <c r="BN7" i="36"/>
  <c r="BO7" i="36"/>
  <c r="BP7" i="36"/>
  <c r="BQ7" i="36"/>
  <c r="BR7" i="36"/>
  <c r="BS7" i="36"/>
  <c r="BT7" i="36"/>
  <c r="BU7" i="36"/>
  <c r="BV7" i="36"/>
  <c r="BW7" i="36"/>
  <c r="BB8" i="36"/>
  <c r="BC8" i="36"/>
  <c r="BD8" i="36"/>
  <c r="BK8" i="36"/>
  <c r="BL8" i="36"/>
  <c r="BM8" i="36"/>
  <c r="BN8" i="36"/>
  <c r="BO8" i="36"/>
  <c r="BP8" i="36"/>
  <c r="BQ8" i="36"/>
  <c r="BR8" i="36"/>
  <c r="BS8" i="36"/>
  <c r="BT8" i="36"/>
  <c r="BU8" i="36"/>
  <c r="BV8" i="36"/>
  <c r="BW8" i="36"/>
  <c r="BB9" i="36"/>
  <c r="BC9" i="36"/>
  <c r="BD9" i="36"/>
  <c r="BK9" i="36"/>
  <c r="BL9" i="36"/>
  <c r="BM9" i="36"/>
  <c r="BN9" i="36"/>
  <c r="BO9" i="36"/>
  <c r="BP9" i="36"/>
  <c r="BQ9" i="36"/>
  <c r="BR9" i="36"/>
  <c r="BS9" i="36"/>
  <c r="BT9" i="36"/>
  <c r="BU9" i="36"/>
  <c r="BV9" i="36"/>
  <c r="BW9" i="36"/>
  <c r="BB10" i="36"/>
  <c r="BC10" i="36"/>
  <c r="BD10" i="36"/>
  <c r="BK10" i="36"/>
  <c r="BL10" i="36"/>
  <c r="BM10" i="36"/>
  <c r="BN10" i="36"/>
  <c r="BO10" i="36"/>
  <c r="BP10" i="36"/>
  <c r="BQ10" i="36"/>
  <c r="BR10" i="36"/>
  <c r="BS10" i="36"/>
  <c r="BT10" i="36"/>
  <c r="BU10" i="36"/>
  <c r="BV10" i="36"/>
  <c r="BW10" i="36"/>
  <c r="BB11" i="36"/>
  <c r="BC11" i="36"/>
  <c r="BD11" i="36"/>
  <c r="BK11" i="36"/>
  <c r="BL11" i="36"/>
  <c r="BM11" i="36"/>
  <c r="BN11" i="36"/>
  <c r="BO11" i="36"/>
  <c r="BP11" i="36"/>
  <c r="BQ11" i="36"/>
  <c r="BR11" i="36"/>
  <c r="BS11" i="36"/>
  <c r="BT11" i="36"/>
  <c r="BU11" i="36"/>
  <c r="BV11" i="36"/>
  <c r="BW11" i="36"/>
  <c r="BB12" i="36"/>
  <c r="BC12" i="36"/>
  <c r="BD12" i="36"/>
  <c r="BK12" i="36"/>
  <c r="BL12" i="36"/>
  <c r="BM12" i="36"/>
  <c r="BN12" i="36"/>
  <c r="BO12" i="36"/>
  <c r="BP12" i="36"/>
  <c r="BQ12" i="36"/>
  <c r="BR12" i="36"/>
  <c r="BS12" i="36"/>
  <c r="BT12" i="36"/>
  <c r="BU12" i="36"/>
  <c r="BV12" i="36"/>
  <c r="BW12" i="36"/>
  <c r="BC13" i="36"/>
  <c r="BW13" i="36"/>
  <c r="BV5" i="36"/>
  <c r="BU5" i="36"/>
  <c r="BT5" i="36"/>
  <c r="BS5" i="36"/>
  <c r="BR5" i="36"/>
  <c r="BQ5" i="36"/>
  <c r="BO5" i="36"/>
  <c r="BN5" i="36"/>
  <c r="BM5" i="36"/>
  <c r="BL5" i="36"/>
  <c r="BC5" i="36"/>
  <c r="AP43" i="36"/>
  <c r="AL43" i="36"/>
  <c r="AD43" i="36"/>
  <c r="AB43" i="36"/>
  <c r="Z43" i="36"/>
  <c r="X43" i="36"/>
  <c r="V43" i="36"/>
  <c r="T43" i="36"/>
  <c r="D43" i="36"/>
  <c r="B43" i="36"/>
  <c r="AP42" i="36"/>
  <c r="AL42" i="36"/>
  <c r="AD42" i="36"/>
  <c r="AB42" i="36"/>
  <c r="Z42" i="36"/>
  <c r="X42" i="36"/>
  <c r="V42" i="36"/>
  <c r="T42" i="36"/>
  <c r="D42" i="36"/>
  <c r="B42" i="36"/>
  <c r="BW42" i="36"/>
  <c r="AP41" i="36"/>
  <c r="AL41" i="36"/>
  <c r="AD41" i="36"/>
  <c r="AB41" i="36"/>
  <c r="Z41" i="36"/>
  <c r="X41" i="36"/>
  <c r="V41" i="36"/>
  <c r="T41" i="36"/>
  <c r="D41" i="36"/>
  <c r="B41" i="36"/>
  <c r="AP40" i="36"/>
  <c r="AL40" i="36"/>
  <c r="AD40" i="36"/>
  <c r="AB40" i="36"/>
  <c r="Z40" i="36"/>
  <c r="X40" i="36"/>
  <c r="V40" i="36"/>
  <c r="T40" i="36"/>
  <c r="D40" i="36"/>
  <c r="B40" i="36"/>
  <c r="AP39" i="36"/>
  <c r="AL39" i="36"/>
  <c r="AD39" i="36"/>
  <c r="AB39" i="36"/>
  <c r="Z39" i="36"/>
  <c r="X39" i="36"/>
  <c r="V39" i="36"/>
  <c r="T39" i="36"/>
  <c r="D39" i="36"/>
  <c r="B39" i="36"/>
  <c r="AP38" i="36"/>
  <c r="AL38" i="36"/>
  <c r="AD38" i="36"/>
  <c r="AB38" i="36"/>
  <c r="Z38" i="36"/>
  <c r="X38" i="36"/>
  <c r="V38" i="36"/>
  <c r="T38" i="36"/>
  <c r="D38" i="36"/>
  <c r="B38" i="36"/>
  <c r="AP37" i="36"/>
  <c r="AL37" i="36"/>
  <c r="AD37" i="36"/>
  <c r="AB37" i="36"/>
  <c r="Z37" i="36"/>
  <c r="X37" i="36"/>
  <c r="V37" i="36"/>
  <c r="T37" i="36"/>
  <c r="D37" i="36"/>
  <c r="B37" i="36"/>
  <c r="AP36" i="36"/>
  <c r="AL36" i="36"/>
  <c r="AD36" i="36"/>
  <c r="AB36" i="36"/>
  <c r="Z36" i="36"/>
  <c r="X36" i="36"/>
  <c r="V36" i="36"/>
  <c r="T36" i="36"/>
  <c r="D36" i="36"/>
  <c r="B36" i="36"/>
  <c r="AP35" i="36"/>
  <c r="AL35" i="36"/>
  <c r="AD35" i="36"/>
  <c r="AB35" i="36"/>
  <c r="Z35" i="36"/>
  <c r="X35" i="36"/>
  <c r="V35" i="36"/>
  <c r="T35" i="36"/>
  <c r="D35" i="36"/>
  <c r="B35" i="36"/>
  <c r="AP34" i="36"/>
  <c r="AL34" i="36"/>
  <c r="AD34" i="36"/>
  <c r="AB34" i="36"/>
  <c r="Z34" i="36"/>
  <c r="X34" i="36"/>
  <c r="V34" i="36"/>
  <c r="T34" i="36"/>
  <c r="D34" i="36"/>
  <c r="B34" i="36"/>
  <c r="AP33" i="36"/>
  <c r="AL33" i="36"/>
  <c r="AD33" i="36"/>
  <c r="AB33" i="36"/>
  <c r="Z33" i="36"/>
  <c r="X33" i="36"/>
  <c r="V33" i="36"/>
  <c r="T33" i="36"/>
  <c r="D33" i="36"/>
  <c r="B33" i="36"/>
  <c r="AP32" i="36"/>
  <c r="AL32" i="36"/>
  <c r="AD32" i="36"/>
  <c r="AB32" i="36"/>
  <c r="Z32" i="36"/>
  <c r="X32" i="36"/>
  <c r="V32" i="36"/>
  <c r="T32" i="36"/>
  <c r="D32" i="36"/>
  <c r="B32" i="36"/>
  <c r="AP31" i="36"/>
  <c r="AL31" i="36"/>
  <c r="AD31" i="36"/>
  <c r="AB31" i="36"/>
  <c r="Z31" i="36"/>
  <c r="X31" i="36"/>
  <c r="V31" i="36"/>
  <c r="T31" i="36"/>
  <c r="D31" i="36"/>
  <c r="B31" i="36"/>
  <c r="AP30" i="36"/>
  <c r="AL30" i="36"/>
  <c r="AD30" i="36"/>
  <c r="AB30" i="36"/>
  <c r="Z30" i="36"/>
  <c r="X30" i="36"/>
  <c r="V30" i="36"/>
  <c r="T30" i="36"/>
  <c r="D30" i="36"/>
  <c r="B30" i="36"/>
  <c r="AP29" i="36"/>
  <c r="AL29" i="36"/>
  <c r="AD29" i="36"/>
  <c r="AB29" i="36"/>
  <c r="Z29" i="36"/>
  <c r="X29" i="36"/>
  <c r="V29" i="36"/>
  <c r="T29" i="36"/>
  <c r="D29" i="36"/>
  <c r="B29" i="36"/>
  <c r="AP28" i="36"/>
  <c r="AL28" i="36"/>
  <c r="AD28" i="36"/>
  <c r="AB28" i="36"/>
  <c r="Z28" i="36"/>
  <c r="X28" i="36"/>
  <c r="V28" i="36"/>
  <c r="T28" i="36"/>
  <c r="D28" i="36"/>
  <c r="B28" i="36"/>
  <c r="AP27" i="36"/>
  <c r="AL27" i="36"/>
  <c r="AD27" i="36"/>
  <c r="AB27" i="36"/>
  <c r="Z27" i="36"/>
  <c r="X27" i="36"/>
  <c r="V27" i="36"/>
  <c r="T27" i="36"/>
  <c r="D27" i="36"/>
  <c r="B27" i="36"/>
  <c r="AP26" i="36"/>
  <c r="AL26" i="36"/>
  <c r="AD26" i="36"/>
  <c r="AB26" i="36"/>
  <c r="Z26" i="36"/>
  <c r="X26" i="36"/>
  <c r="V26" i="36"/>
  <c r="T26" i="36"/>
  <c r="D26" i="36"/>
  <c r="B26" i="36"/>
  <c r="BW26" i="36"/>
  <c r="AP25" i="36"/>
  <c r="AL25" i="36"/>
  <c r="AD25" i="36"/>
  <c r="AB25" i="36"/>
  <c r="Z25" i="36"/>
  <c r="X25" i="36"/>
  <c r="V25" i="36"/>
  <c r="T25" i="36"/>
  <c r="D25" i="36"/>
  <c r="B25" i="36"/>
  <c r="AP24" i="36"/>
  <c r="AL24" i="36"/>
  <c r="AD24" i="36"/>
  <c r="AB24" i="36"/>
  <c r="Z24" i="36"/>
  <c r="X24" i="36"/>
  <c r="V24" i="36"/>
  <c r="T24" i="36"/>
  <c r="D24" i="36"/>
  <c r="B24" i="36"/>
  <c r="AP23" i="36"/>
  <c r="AL23" i="36"/>
  <c r="AD23" i="36"/>
  <c r="AB23" i="36"/>
  <c r="Z23" i="36"/>
  <c r="X23" i="36"/>
  <c r="V23" i="36"/>
  <c r="T23" i="36"/>
  <c r="D23" i="36"/>
  <c r="B23" i="36"/>
  <c r="AP22" i="36"/>
  <c r="AL22" i="36"/>
  <c r="AD22" i="36"/>
  <c r="AB22" i="36"/>
  <c r="Z22" i="36"/>
  <c r="X22" i="36"/>
  <c r="V22" i="36"/>
  <c r="T22" i="36"/>
  <c r="D22" i="36"/>
  <c r="B22" i="36"/>
  <c r="AP21" i="36"/>
  <c r="AL21" i="36"/>
  <c r="AD21" i="36"/>
  <c r="AB21" i="36"/>
  <c r="Z21" i="36"/>
  <c r="X21" i="36"/>
  <c r="V21" i="36"/>
  <c r="T21" i="36"/>
  <c r="D21" i="36"/>
  <c r="B21" i="36"/>
  <c r="AP20" i="36"/>
  <c r="AL20" i="36"/>
  <c r="AD20" i="36"/>
  <c r="AB20" i="36"/>
  <c r="Z20" i="36"/>
  <c r="X20" i="36"/>
  <c r="V20" i="36"/>
  <c r="T20" i="36"/>
  <c r="D20" i="36"/>
  <c r="B20" i="36"/>
  <c r="AP19" i="36"/>
  <c r="BU19" i="36"/>
  <c r="AL19" i="36"/>
  <c r="AD19" i="36"/>
  <c r="AB19" i="36"/>
  <c r="Z19" i="36"/>
  <c r="X19" i="36"/>
  <c r="V19" i="36"/>
  <c r="T19" i="36"/>
  <c r="D19" i="36"/>
  <c r="B19" i="36"/>
  <c r="AP18" i="36"/>
  <c r="AL18" i="36"/>
  <c r="AD18" i="36"/>
  <c r="AB18" i="36"/>
  <c r="Z18" i="36"/>
  <c r="X18" i="36"/>
  <c r="V18" i="36"/>
  <c r="T18" i="36"/>
  <c r="D18" i="36"/>
  <c r="B18" i="36"/>
  <c r="AP17" i="36"/>
  <c r="BU17" i="36"/>
  <c r="AL17" i="36"/>
  <c r="AD17" i="36"/>
  <c r="AB17" i="36"/>
  <c r="Z17" i="36"/>
  <c r="X17" i="36"/>
  <c r="V17" i="36"/>
  <c r="T17" i="36"/>
  <c r="D17" i="36"/>
  <c r="B17" i="36"/>
  <c r="AP16" i="36"/>
  <c r="AL16" i="36"/>
  <c r="AD16" i="36"/>
  <c r="AB16" i="36"/>
  <c r="Z16" i="36"/>
  <c r="X16" i="36"/>
  <c r="V16" i="36"/>
  <c r="T16" i="36"/>
  <c r="D16" i="36"/>
  <c r="B16" i="36"/>
  <c r="BW15" i="36"/>
  <c r="AP15" i="36"/>
  <c r="AL15" i="36"/>
  <c r="AD15" i="36"/>
  <c r="AB15" i="36"/>
  <c r="Z15" i="36"/>
  <c r="X15" i="36"/>
  <c r="BM15" i="36" s="1"/>
  <c r="V15" i="36"/>
  <c r="T15" i="36"/>
  <c r="D15" i="36"/>
  <c r="B15" i="36"/>
  <c r="AP14" i="36"/>
  <c r="BV14" i="36" s="1"/>
  <c r="AL14" i="36"/>
  <c r="BT13" i="36" s="1"/>
  <c r="BS14" i="36"/>
  <c r="BR13" i="36"/>
  <c r="BQ14" i="36"/>
  <c r="AD14" i="36"/>
  <c r="BP14" i="36" s="1"/>
  <c r="AB14" i="36"/>
  <c r="BO14" i="36" s="1"/>
  <c r="Z14" i="36"/>
  <c r="BN14" i="36" s="1"/>
  <c r="X14" i="36"/>
  <c r="BM14" i="36" s="1"/>
  <c r="V14" i="36"/>
  <c r="BL13" i="36" s="1"/>
  <c r="T14" i="36"/>
  <c r="BK14" i="36" s="1"/>
  <c r="BD13" i="36"/>
  <c r="D14" i="36"/>
  <c r="BC14" i="36" s="1"/>
  <c r="B14" i="36"/>
  <c r="BB14" i="36" s="1"/>
  <c r="AT43" i="36"/>
  <c r="BX10" i="36"/>
  <c r="BX9" i="36"/>
  <c r="BX7" i="36"/>
  <c r="BX5" i="36"/>
  <c r="AT2" i="36"/>
  <c r="AR2" i="36"/>
  <c r="AP2" i="36"/>
  <c r="AN2" i="36"/>
  <c r="AL2" i="36"/>
  <c r="AJ2" i="36"/>
  <c r="AH2" i="36"/>
  <c r="AF2" i="36"/>
  <c r="AD2" i="36"/>
  <c r="AB2" i="36"/>
  <c r="Z2" i="36"/>
  <c r="X2" i="36"/>
  <c r="V2" i="36"/>
  <c r="T2" i="36"/>
  <c r="F2" i="36"/>
  <c r="D2" i="36"/>
  <c r="B2" i="36"/>
  <c r="BO42" i="36" l="1"/>
  <c r="BK21" i="36"/>
  <c r="BK30" i="36"/>
  <c r="BO34" i="36"/>
  <c r="BP35" i="36"/>
  <c r="BK38" i="36"/>
  <c r="BC34" i="36"/>
  <c r="BC43" i="36"/>
  <c r="BP33" i="36"/>
  <c r="BR39" i="36"/>
  <c r="BS40" i="36"/>
  <c r="BQ18" i="36"/>
  <c r="BQ27" i="36"/>
  <c r="BS29" i="36"/>
  <c r="BQ35" i="36"/>
  <c r="BD43" i="36"/>
  <c r="BC40" i="36"/>
  <c r="BK25" i="36"/>
  <c r="BK24" i="36"/>
  <c r="BK33" i="36"/>
  <c r="BO37" i="36"/>
  <c r="BS41" i="36"/>
  <c r="BQ24" i="36"/>
  <c r="BR43" i="36"/>
  <c r="BO21" i="36"/>
  <c r="BK22" i="36"/>
  <c r="BR30" i="36"/>
  <c r="BK29" i="36"/>
  <c r="BK37" i="36"/>
  <c r="BS38" i="36"/>
  <c r="BS16" i="36"/>
  <c r="BW25" i="36"/>
  <c r="BO25" i="36"/>
  <c r="BW41" i="36"/>
  <c r="BW20" i="36"/>
  <c r="BD14" i="36"/>
  <c r="BR14" i="36"/>
  <c r="BQ43" i="36"/>
  <c r="BL14" i="36"/>
  <c r="BT14" i="36"/>
  <c r="BC19" i="36"/>
  <c r="BQ13" i="36"/>
  <c r="BO13" i="36"/>
  <c r="BU15" i="36"/>
  <c r="BM18" i="36"/>
  <c r="BU20" i="36"/>
  <c r="BM22" i="36"/>
  <c r="BU22" i="36"/>
  <c r="BM23" i="36"/>
  <c r="BU25" i="36"/>
  <c r="BM26" i="36"/>
  <c r="BU27" i="36"/>
  <c r="BU29" i="36"/>
  <c r="BU31" i="36"/>
  <c r="BU32" i="36"/>
  <c r="BU34" i="36"/>
  <c r="BM35" i="36"/>
  <c r="BU35" i="36"/>
  <c r="BU36" i="36"/>
  <c r="BM37" i="36"/>
  <c r="BU37" i="36"/>
  <c r="BM39" i="36"/>
  <c r="BM20" i="36"/>
  <c r="BN16" i="36"/>
  <c r="BV17" i="36"/>
  <c r="BN18" i="36"/>
  <c r="BN21" i="36"/>
  <c r="BV21" i="36"/>
  <c r="BV22" i="36"/>
  <c r="BN23" i="36"/>
  <c r="BN25" i="36"/>
  <c r="BV25" i="36"/>
  <c r="BV26" i="36"/>
  <c r="BN28" i="36"/>
  <c r="BN29" i="36"/>
  <c r="BV29" i="36"/>
  <c r="BV30" i="36"/>
  <c r="BV32" i="36"/>
  <c r="BN34" i="36"/>
  <c r="BV34" i="36"/>
  <c r="BN36" i="36"/>
  <c r="BV36" i="36"/>
  <c r="BN37" i="36"/>
  <c r="BV38" i="36"/>
  <c r="BN40" i="36"/>
  <c r="BV40" i="36"/>
  <c r="BN41" i="36"/>
  <c r="BV41" i="36"/>
  <c r="BV43" i="36"/>
  <c r="BO16" i="36"/>
  <c r="BW16" i="36"/>
  <c r="BW17" i="36"/>
  <c r="BO19" i="36"/>
  <c r="BW19" i="36"/>
  <c r="BO20" i="36"/>
  <c r="BO27" i="36"/>
  <c r="BW27" i="36"/>
  <c r="BB16" i="36"/>
  <c r="BP16" i="36"/>
  <c r="BB17" i="36"/>
  <c r="BB18" i="36"/>
  <c r="BP18" i="36"/>
  <c r="BB22" i="36"/>
  <c r="BB24" i="36"/>
  <c r="BP25" i="36"/>
  <c r="BB26" i="36"/>
  <c r="BP27" i="36"/>
  <c r="BB28" i="36"/>
  <c r="BP28" i="36"/>
  <c r="BB30" i="36"/>
  <c r="BB32" i="36"/>
  <c r="BP37" i="36"/>
  <c r="BB38" i="36"/>
  <c r="BB39" i="36"/>
  <c r="BU18" i="36"/>
  <c r="BV35" i="36"/>
  <c r="BV39" i="36"/>
  <c r="BO15" i="36"/>
  <c r="BP15" i="36"/>
  <c r="BB21" i="36"/>
  <c r="BB23" i="36"/>
  <c r="BB27" i="36"/>
  <c r="BP29" i="36"/>
  <c r="BL15" i="36"/>
  <c r="BT15" i="36"/>
  <c r="BL17" i="36"/>
  <c r="BT17" i="36"/>
  <c r="BT18" i="36"/>
  <c r="BL19" i="36"/>
  <c r="BT19" i="36"/>
  <c r="BL20" i="36"/>
  <c r="BT20" i="36"/>
  <c r="BL22" i="36"/>
  <c r="BT22" i="36"/>
  <c r="BL23" i="36"/>
  <c r="BT23" i="36"/>
  <c r="BL25" i="36"/>
  <c r="BT25" i="36"/>
  <c r="BT26" i="36"/>
  <c r="BL27" i="36"/>
  <c r="BT27" i="36"/>
  <c r="BL28" i="36"/>
  <c r="BT28" i="36"/>
  <c r="BL30" i="36"/>
  <c r="BT30" i="36"/>
  <c r="BL31" i="36"/>
  <c r="BT31" i="36"/>
  <c r="BL33" i="36"/>
  <c r="BT33" i="36"/>
  <c r="BL34" i="36"/>
  <c r="BT34" i="36"/>
  <c r="BL35" i="36"/>
  <c r="BT35" i="36"/>
  <c r="BL36" i="36"/>
  <c r="BT36" i="36"/>
  <c r="BL37" i="36"/>
  <c r="BT37" i="36"/>
  <c r="BL38" i="36"/>
  <c r="BT38" i="36"/>
  <c r="BL39" i="36"/>
  <c r="BT39" i="36"/>
  <c r="BL41" i="36"/>
  <c r="BT41" i="36"/>
  <c r="BL43" i="36"/>
  <c r="BT43" i="36"/>
  <c r="BX12" i="36"/>
  <c r="BU16" i="36"/>
  <c r="BM32" i="36"/>
  <c r="BM38" i="36"/>
  <c r="BU38" i="36"/>
  <c r="BM40" i="36"/>
  <c r="BU40" i="36"/>
  <c r="BM41" i="36"/>
  <c r="BU41" i="36"/>
  <c r="BM42" i="36"/>
  <c r="BU42" i="36"/>
  <c r="BM43" i="36"/>
  <c r="BU43" i="36"/>
  <c r="BU21" i="36"/>
  <c r="BU24" i="36"/>
  <c r="BU28" i="36"/>
  <c r="BV16" i="36"/>
  <c r="BV24" i="36"/>
  <c r="BV31" i="36"/>
  <c r="BM17" i="36"/>
  <c r="BM27" i="36"/>
  <c r="BU30" i="36"/>
  <c r="BM33" i="36"/>
  <c r="BN15" i="36"/>
  <c r="BV18" i="36"/>
  <c r="BN22" i="36"/>
  <c r="BV28" i="36"/>
  <c r="BN32" i="36"/>
  <c r="BV42" i="36"/>
  <c r="BO22" i="36"/>
  <c r="BO23" i="36"/>
  <c r="BW24" i="36"/>
  <c r="BO28" i="36"/>
  <c r="BO30" i="36"/>
  <c r="BW30" i="36"/>
  <c r="BO31" i="36"/>
  <c r="BW31" i="36"/>
  <c r="BO32" i="36"/>
  <c r="BW32" i="36"/>
  <c r="BO33" i="36"/>
  <c r="BW33" i="36"/>
  <c r="BO35" i="36"/>
  <c r="BW35" i="36"/>
  <c r="BO36" i="36"/>
  <c r="BO38" i="36"/>
  <c r="BW38" i="36"/>
  <c r="BO39" i="36"/>
  <c r="BW39" i="36"/>
  <c r="BO40" i="36"/>
  <c r="BW40" i="36"/>
  <c r="BO41" i="36"/>
  <c r="BO43" i="36"/>
  <c r="BW43" i="36"/>
  <c r="BM30" i="36"/>
  <c r="BU33" i="36"/>
  <c r="BV15" i="36"/>
  <c r="BN19" i="36"/>
  <c r="BN26" i="36"/>
  <c r="BN33" i="36"/>
  <c r="BN42" i="36"/>
  <c r="BN43" i="36"/>
  <c r="BO17" i="36"/>
  <c r="BW22" i="36"/>
  <c r="BW23" i="36"/>
  <c r="BO24" i="36"/>
  <c r="BP19" i="36"/>
  <c r="BB31" i="36"/>
  <c r="BB33" i="36"/>
  <c r="BP34" i="36"/>
  <c r="BP36" i="36"/>
  <c r="BB37" i="36"/>
  <c r="BP39" i="36"/>
  <c r="BB40" i="36"/>
  <c r="BP40" i="36"/>
  <c r="BP41" i="36"/>
  <c r="BB42" i="36"/>
  <c r="BP42" i="36"/>
  <c r="BP43" i="36"/>
  <c r="BB41" i="36"/>
  <c r="BW28" i="36"/>
  <c r="BO18" i="36"/>
  <c r="BM24" i="36"/>
  <c r="BM28" i="36"/>
  <c r="BN20" i="36"/>
  <c r="BV23" i="36"/>
  <c r="BV27" i="36"/>
  <c r="BN31" i="36"/>
  <c r="BN39" i="36"/>
  <c r="BB19" i="36"/>
  <c r="BP21" i="36"/>
  <c r="BP23" i="36"/>
  <c r="BC15" i="36"/>
  <c r="BQ15" i="36"/>
  <c r="BC17" i="36"/>
  <c r="BQ17" i="36"/>
  <c r="BC18" i="36"/>
  <c r="BC20" i="36"/>
  <c r="BQ20" i="36"/>
  <c r="BC21" i="36"/>
  <c r="BQ21" i="36"/>
  <c r="BC22" i="36"/>
  <c r="BQ22" i="36"/>
  <c r="BC23" i="36"/>
  <c r="BQ23" i="36"/>
  <c r="BC25" i="36"/>
  <c r="BQ25" i="36"/>
  <c r="BC26" i="36"/>
  <c r="BC28" i="36"/>
  <c r="BQ28" i="36"/>
  <c r="BC29" i="36"/>
  <c r="BQ29" i="36"/>
  <c r="BC30" i="36"/>
  <c r="BQ30" i="36"/>
  <c r="BC31" i="36"/>
  <c r="BQ31" i="36"/>
  <c r="BC33" i="36"/>
  <c r="BQ33" i="36"/>
  <c r="BQ34" i="36"/>
  <c r="BC36" i="36"/>
  <c r="BQ36" i="36"/>
  <c r="BC37" i="36"/>
  <c r="BQ37" i="36"/>
  <c r="BC38" i="36"/>
  <c r="BQ38" i="36"/>
  <c r="BC39" i="36"/>
  <c r="BQ39" i="36"/>
  <c r="BC41" i="36"/>
  <c r="BQ41" i="36"/>
  <c r="BC42" i="36"/>
  <c r="BQ42" i="36"/>
  <c r="BC24" i="36"/>
  <c r="BX6" i="36"/>
  <c r="BM16" i="36"/>
  <c r="BN17" i="36"/>
  <c r="BV20" i="36"/>
  <c r="BN24" i="36"/>
  <c r="BN27" i="36"/>
  <c r="BV33" i="36"/>
  <c r="BN35" i="36"/>
  <c r="BP17" i="36"/>
  <c r="BB20" i="36"/>
  <c r="BP24" i="36"/>
  <c r="BP26" i="36"/>
  <c r="BD16" i="36"/>
  <c r="BR16" i="36"/>
  <c r="BD17" i="36"/>
  <c r="BR17" i="36"/>
  <c r="BD19" i="36"/>
  <c r="BR19" i="36"/>
  <c r="BD20" i="36"/>
  <c r="BR20" i="36"/>
  <c r="BD21" i="36"/>
  <c r="BR21" i="36"/>
  <c r="BD22" i="36"/>
  <c r="BR22" i="36"/>
  <c r="BD24" i="36"/>
  <c r="BR24" i="36"/>
  <c r="BD25" i="36"/>
  <c r="BR25" i="36"/>
  <c r="BD27" i="36"/>
  <c r="BR27" i="36"/>
  <c r="BD28" i="36"/>
  <c r="BR28" i="36"/>
  <c r="BD29" i="36"/>
  <c r="BR29" i="36"/>
  <c r="BD30" i="36"/>
  <c r="BD31" i="36"/>
  <c r="BR31" i="36"/>
  <c r="BR32" i="36"/>
  <c r="BD33" i="36"/>
  <c r="BR33" i="36"/>
  <c r="BD34" i="36"/>
  <c r="BR34" i="36"/>
  <c r="BD35" i="36"/>
  <c r="BD37" i="36"/>
  <c r="BR37" i="36"/>
  <c r="BD38" i="36"/>
  <c r="BR38" i="36"/>
  <c r="BD39" i="36"/>
  <c r="BD40" i="36"/>
  <c r="BD41" i="36"/>
  <c r="BR41" i="36"/>
  <c r="BD42" i="36"/>
  <c r="BR42" i="36"/>
  <c r="BR40" i="36"/>
  <c r="BW36" i="36"/>
  <c r="BD32" i="36"/>
  <c r="BC16" i="36"/>
  <c r="BM19" i="36"/>
  <c r="BM21" i="36"/>
  <c r="BM25" i="36"/>
  <c r="BV19" i="36"/>
  <c r="BN30" i="36"/>
  <c r="BV37" i="36"/>
  <c r="BB15" i="36"/>
  <c r="BP20" i="36"/>
  <c r="BP22" i="36"/>
  <c r="BB25" i="36"/>
  <c r="BB29" i="36"/>
  <c r="BP30" i="36"/>
  <c r="BP31" i="36"/>
  <c r="BP32" i="36"/>
  <c r="BB34" i="36"/>
  <c r="BB35" i="36"/>
  <c r="BB36" i="36"/>
  <c r="BP38" i="36"/>
  <c r="BK15" i="36"/>
  <c r="BS15" i="36"/>
  <c r="BK16" i="36"/>
  <c r="BK18" i="36"/>
  <c r="BS18" i="36"/>
  <c r="BK19" i="36"/>
  <c r="BS19" i="36"/>
  <c r="BK20" i="36"/>
  <c r="BS20" i="36"/>
  <c r="BS21" i="36"/>
  <c r="BK23" i="36"/>
  <c r="BS23" i="36"/>
  <c r="BS24" i="36"/>
  <c r="BK26" i="36"/>
  <c r="BS26" i="36"/>
  <c r="BK27" i="36"/>
  <c r="BS27" i="36"/>
  <c r="BK28" i="36"/>
  <c r="BS28" i="36"/>
  <c r="BK31" i="36"/>
  <c r="BS31" i="36"/>
  <c r="BK32" i="36"/>
  <c r="BS32" i="36"/>
  <c r="BK34" i="36"/>
  <c r="BS34" i="36"/>
  <c r="BK35" i="36"/>
  <c r="BS35" i="36"/>
  <c r="BK36" i="36"/>
  <c r="BS36" i="36"/>
  <c r="BS37" i="36"/>
  <c r="BK39" i="36"/>
  <c r="BS39" i="36"/>
  <c r="BK40" i="36"/>
  <c r="BK42" i="36"/>
  <c r="BS42" i="36"/>
  <c r="BK43" i="36"/>
  <c r="BS43" i="36"/>
  <c r="BB43" i="36"/>
  <c r="BQ40" i="36"/>
  <c r="BR35" i="36"/>
  <c r="BC32" i="36"/>
  <c r="BQ26" i="36"/>
  <c r="BX13" i="36"/>
  <c r="BL32" i="36"/>
  <c r="BD23" i="36"/>
  <c r="BT40" i="36"/>
  <c r="BU39" i="36"/>
  <c r="BD36" i="36"/>
  <c r="BS30" i="36"/>
  <c r="BO29" i="36"/>
  <c r="BC27" i="36"/>
  <c r="BS25" i="36"/>
  <c r="BL24" i="36"/>
  <c r="BS22" i="36"/>
  <c r="BL21" i="36"/>
  <c r="BW18" i="36"/>
  <c r="BK17" i="36"/>
  <c r="BP13" i="36"/>
  <c r="BB13" i="36"/>
  <c r="BX11" i="36"/>
  <c r="BL29" i="36"/>
  <c r="BR18" i="36"/>
  <c r="BR15" i="36"/>
  <c r="BU14" i="36"/>
  <c r="BU26" i="36"/>
  <c r="BM29" i="36"/>
  <c r="BR26" i="36"/>
  <c r="BT16" i="36"/>
  <c r="BV13" i="36"/>
  <c r="BN13" i="36"/>
  <c r="BL18" i="36"/>
  <c r="BL26" i="36"/>
  <c r="BD15" i="36"/>
  <c r="BU13" i="36"/>
  <c r="BM13" i="36"/>
  <c r="BX8" i="36"/>
  <c r="BN38" i="36"/>
  <c r="BU23" i="36"/>
  <c r="BL40" i="36"/>
  <c r="BW37" i="36"/>
  <c r="BR36" i="36"/>
  <c r="BO26" i="36"/>
  <c r="BW21" i="36"/>
  <c r="BD18" i="36"/>
  <c r="BQ16" i="36"/>
  <c r="BW14" i="36"/>
  <c r="BT42" i="36"/>
  <c r="BT32" i="36"/>
  <c r="BK41" i="36"/>
  <c r="BC35" i="36"/>
  <c r="BS33" i="36"/>
  <c r="BM31" i="36"/>
  <c r="BW29" i="36"/>
  <c r="BD26" i="36"/>
  <c r="BT24" i="36"/>
  <c r="BR23" i="36"/>
  <c r="BT21" i="36"/>
  <c r="BL16" i="36"/>
  <c r="BS13" i="36"/>
  <c r="BK13" i="36"/>
  <c r="BM34" i="36"/>
  <c r="BL42" i="36"/>
  <c r="BM36" i="36"/>
  <c r="BW34" i="36"/>
  <c r="BQ32" i="36"/>
  <c r="BT29" i="36"/>
  <c r="BQ19" i="36"/>
  <c r="BS17" i="36"/>
  <c r="AT20" i="36"/>
  <c r="AT28" i="36"/>
  <c r="AT36" i="36"/>
  <c r="AT22" i="36"/>
  <c r="AT15" i="36"/>
  <c r="AT16" i="36"/>
  <c r="AT24" i="36"/>
  <c r="AT32" i="36"/>
  <c r="AT40" i="36"/>
  <c r="AT21" i="36"/>
  <c r="AT29" i="36"/>
  <c r="AT37" i="36"/>
  <c r="AT38" i="36"/>
  <c r="AT17" i="36"/>
  <c r="AT25" i="36"/>
  <c r="AT33" i="36"/>
  <c r="AT41" i="36"/>
  <c r="AT14" i="36"/>
  <c r="AT30" i="36"/>
  <c r="AT23" i="36"/>
  <c r="AT31" i="36"/>
  <c r="AT18" i="36"/>
  <c r="AT26" i="36"/>
  <c r="AT34" i="36"/>
  <c r="AT42" i="36"/>
  <c r="AT39" i="36"/>
  <c r="AT19" i="36"/>
  <c r="AT27" i="36"/>
  <c r="AT35" i="36"/>
  <c r="BX41" i="36" l="1"/>
  <c r="BX39" i="36"/>
  <c r="BX15" i="36"/>
  <c r="BX23" i="36"/>
  <c r="BX38" i="36"/>
  <c r="BX19" i="36"/>
  <c r="BX29" i="36"/>
  <c r="BX42" i="36"/>
  <c r="BX43" i="36"/>
  <c r="BX35" i="36"/>
  <c r="BX40" i="36"/>
  <c r="BX31" i="36"/>
  <c r="BX27" i="36"/>
  <c r="BX22" i="36"/>
  <c r="BX37" i="36"/>
  <c r="BX36" i="36"/>
  <c r="BX18" i="36"/>
  <c r="BX17" i="36"/>
  <c r="BX16" i="36"/>
  <c r="BX30" i="36"/>
  <c r="BX21" i="36"/>
  <c r="BX34" i="36"/>
  <c r="BX28" i="36"/>
  <c r="BX20" i="36"/>
  <c r="BX33" i="36"/>
  <c r="BX32" i="36"/>
  <c r="BX14" i="36"/>
  <c r="BX26" i="36"/>
  <c r="BX25" i="36"/>
  <c r="BX24" i="36"/>
  <c r="F39" i="27" l="1"/>
  <c r="S5" i="24" l="1"/>
  <c r="Q5" i="24"/>
  <c r="I5" i="20"/>
  <c r="BC2" i="36"/>
  <c r="BD2" i="36"/>
  <c r="BK2" i="36"/>
  <c r="BL2" i="36"/>
  <c r="BM2" i="36"/>
  <c r="BN2" i="36"/>
  <c r="BO2" i="36"/>
  <c r="BP2" i="36"/>
  <c r="BQ2" i="36"/>
  <c r="BR2" i="36"/>
  <c r="BS2" i="36"/>
  <c r="BT2" i="36"/>
  <c r="BU2" i="36"/>
  <c r="BV2" i="36"/>
  <c r="BW2" i="36"/>
  <c r="BX2" i="36"/>
  <c r="D34" i="33"/>
  <c r="L4" i="31"/>
  <c r="K4" i="31"/>
  <c r="G4" i="31"/>
  <c r="C4" i="31"/>
  <c r="D36" i="33"/>
  <c r="B24" i="1" a="1"/>
  <c r="B24" i="1" s="1"/>
  <c r="D35" i="48" l="1" a="1"/>
  <c r="D35" i="48" s="1"/>
  <c r="D17" i="42" a="1"/>
  <c r="D17" i="42" s="1"/>
  <c r="D38" i="48" a="1"/>
  <c r="D38" i="48" s="1"/>
  <c r="D16" i="42" a="1"/>
  <c r="D16" i="42" s="1"/>
  <c r="D40" i="48" a="1"/>
  <c r="D40" i="48" s="1"/>
  <c r="D19" i="42" a="1"/>
  <c r="D19" i="42" s="1"/>
  <c r="D36" i="48" a="1"/>
  <c r="D36" i="48" s="1"/>
  <c r="D15" i="42" a="1"/>
  <c r="D15" i="42" s="1"/>
  <c r="D41" i="48" a="1"/>
  <c r="D41" i="48" s="1"/>
  <c r="D22" i="42" a="1"/>
  <c r="D22" i="42" s="1"/>
  <c r="D37" i="48" a="1"/>
  <c r="D37" i="48" s="1"/>
  <c r="D20" i="42" a="1"/>
  <c r="D20" i="42" s="1"/>
  <c r="D42" i="48" a="1"/>
  <c r="D42" i="48" s="1"/>
  <c r="D21" i="42" a="1"/>
  <c r="D21" i="42" s="1"/>
  <c r="D39" i="48" a="1"/>
  <c r="D39" i="48" s="1"/>
  <c r="D18" i="42" a="1"/>
  <c r="D18" i="42" s="1"/>
  <c r="D5" i="48" a="1"/>
  <c r="D5" i="48" s="1"/>
  <c r="D8" i="42" a="1"/>
  <c r="D8" i="42" s="1"/>
  <c r="D5" i="42" a="1"/>
  <c r="D5" i="42" s="1"/>
  <c r="D5" i="31" a="1"/>
  <c r="D5" i="31" s="1"/>
  <c r="D8" i="48" a="1"/>
  <c r="D8" i="48" s="1"/>
  <c r="D11" i="42" a="1"/>
  <c r="D11" i="42" s="1"/>
  <c r="D7" i="42" a="1"/>
  <c r="D7" i="42" s="1"/>
  <c r="D11" i="48" a="1"/>
  <c r="D11" i="48" s="1"/>
  <c r="D7" i="48" a="1"/>
  <c r="D7" i="48" s="1"/>
  <c r="D10" i="42" a="1"/>
  <c r="D10" i="42" s="1"/>
  <c r="D6" i="42" a="1"/>
  <c r="D6" i="42" s="1"/>
  <c r="D10" i="48" a="1"/>
  <c r="D10" i="48" s="1"/>
  <c r="D6" i="48" a="1"/>
  <c r="D6" i="48" s="1"/>
  <c r="D9" i="42" a="1"/>
  <c r="D9" i="42" s="1"/>
  <c r="D13" i="48" a="1"/>
  <c r="D13" i="48" s="1"/>
  <c r="D9" i="48" a="1"/>
  <c r="D9" i="48" s="1"/>
  <c r="D13" i="42" a="1"/>
  <c r="D13" i="42" s="1"/>
  <c r="D12" i="42" a="1"/>
  <c r="D12" i="42" s="1"/>
  <c r="D16" i="48" a="1"/>
  <c r="D16" i="48" s="1"/>
  <c r="D19" i="48" a="1"/>
  <c r="D19" i="48" s="1"/>
  <c r="D18" i="48" a="1"/>
  <c r="D18" i="48" s="1"/>
  <c r="D12" i="48" a="1"/>
  <c r="D12" i="48" s="1"/>
  <c r="D34" i="48" a="1"/>
  <c r="D34" i="48" s="1"/>
  <c r="D25" i="48" a="1"/>
  <c r="D25" i="48" s="1"/>
  <c r="D29" i="48" a="1"/>
  <c r="D29" i="48" s="1"/>
  <c r="D32" i="48" a="1"/>
  <c r="D32" i="48" s="1"/>
  <c r="D33" i="48" a="1"/>
  <c r="D33" i="48" s="1"/>
  <c r="D24" i="48" a="1"/>
  <c r="D24" i="48" s="1"/>
  <c r="D28" i="48" a="1"/>
  <c r="D28" i="48" s="1"/>
  <c r="D22" i="48" a="1"/>
  <c r="D22" i="48" s="1"/>
  <c r="D30" i="48" a="1"/>
  <c r="D30" i="48" s="1"/>
  <c r="D15" i="48" a="1"/>
  <c r="D15" i="48" s="1"/>
  <c r="D14" i="42" a="1"/>
  <c r="D14" i="42" s="1"/>
  <c r="D31" i="48" a="1"/>
  <c r="D31" i="48" s="1"/>
  <c r="D14" i="48" a="1"/>
  <c r="D14" i="48" s="1"/>
  <c r="D20" i="48" a="1"/>
  <c r="D20" i="48" s="1"/>
  <c r="D21" i="48" a="1"/>
  <c r="D21" i="48" s="1"/>
  <c r="D17" i="48" a="1"/>
  <c r="D17" i="48" s="1"/>
  <c r="D27" i="48" a="1"/>
  <c r="D27" i="48" s="1"/>
  <c r="D23" i="48" a="1"/>
  <c r="D23" i="48" s="1"/>
  <c r="D26" i="48" a="1"/>
  <c r="D26" i="48" s="1"/>
  <c r="B37" i="33"/>
  <c r="D37" i="33" s="1"/>
  <c r="D33" i="33"/>
  <c r="D20" i="33"/>
  <c r="E12" i="33"/>
  <c r="I4" i="31"/>
  <c r="D43" i="33"/>
  <c r="D27" i="33"/>
  <c r="D23" i="33"/>
  <c r="D22" i="33"/>
  <c r="D21" i="33"/>
  <c r="C5" i="31" l="1"/>
  <c r="H39" i="31"/>
  <c r="C12" i="31"/>
  <c r="C9" i="31"/>
  <c r="C11" i="31"/>
  <c r="C6" i="31"/>
  <c r="C7" i="31"/>
  <c r="C8" i="31"/>
  <c r="C10" i="31"/>
  <c r="H34" i="31"/>
  <c r="L34" i="31"/>
  <c r="C37" i="31"/>
  <c r="L42" i="31"/>
  <c r="H31" i="31"/>
  <c r="C23" i="31"/>
  <c r="C31" i="31"/>
  <c r="L28" i="31"/>
  <c r="K40" i="31"/>
  <c r="J33" i="31"/>
  <c r="J40" i="31"/>
  <c r="J28" i="31"/>
  <c r="I30" i="31"/>
  <c r="J41" i="31"/>
  <c r="I36" i="31"/>
  <c r="H33" i="31"/>
  <c r="G33" i="31"/>
  <c r="I34" i="31"/>
  <c r="K41" i="31"/>
  <c r="J42" i="31"/>
  <c r="I33" i="31"/>
  <c r="K29" i="31"/>
  <c r="I39" i="31"/>
  <c r="I38" i="31"/>
  <c r="I31" i="31"/>
  <c r="K35" i="31"/>
  <c r="K31" i="31"/>
  <c r="K34" i="31"/>
  <c r="C22" i="31"/>
  <c r="G37" i="31"/>
  <c r="I29" i="31"/>
  <c r="C41" i="31"/>
  <c r="C42" i="31"/>
  <c r="L29" i="31"/>
  <c r="H40" i="31"/>
  <c r="H42" i="31"/>
  <c r="C24" i="31"/>
  <c r="K42" i="31"/>
  <c r="C30" i="31"/>
  <c r="J36" i="31"/>
  <c r="I42" i="31"/>
  <c r="J34" i="31"/>
  <c r="C38" i="31"/>
  <c r="G30" i="31"/>
  <c r="C36" i="31"/>
  <c r="H38" i="31"/>
  <c r="J38" i="31"/>
  <c r="C15" i="31"/>
  <c r="H37" i="31"/>
  <c r="J32" i="31"/>
  <c r="G39" i="31"/>
  <c r="J30" i="31"/>
  <c r="C19" i="31"/>
  <c r="H32" i="31"/>
  <c r="J37" i="31"/>
  <c r="G31" i="31"/>
  <c r="J31" i="31"/>
  <c r="C32" i="31"/>
  <c r="H35" i="31"/>
  <c r="J35" i="31"/>
  <c r="C39" i="31"/>
  <c r="I37" i="31"/>
  <c r="I41" i="31"/>
  <c r="H41" i="31"/>
  <c r="C33" i="31"/>
  <c r="H30" i="31"/>
  <c r="C18" i="31"/>
  <c r="C35" i="31"/>
  <c r="G35" i="31"/>
  <c r="I35" i="31"/>
  <c r="C16" i="31"/>
  <c r="G32" i="31"/>
  <c r="G40" i="31"/>
  <c r="G36" i="31"/>
  <c r="H36" i="31"/>
  <c r="K28" i="31"/>
  <c r="C20" i="31"/>
  <c r="L37" i="31"/>
  <c r="C25" i="31"/>
  <c r="L32" i="31"/>
  <c r="C13" i="31"/>
  <c r="G28" i="31"/>
  <c r="H28" i="31"/>
  <c r="H29" i="31"/>
  <c r="L35" i="31"/>
  <c r="L31" i="31"/>
  <c r="G34" i="31"/>
  <c r="K39" i="31"/>
  <c r="L30" i="31"/>
  <c r="C17" i="31"/>
  <c r="L40" i="31"/>
  <c r="C21" i="31"/>
  <c r="L33" i="31"/>
  <c r="C40" i="31"/>
  <c r="G38" i="31"/>
  <c r="L39" i="31"/>
  <c r="G42" i="31"/>
  <c r="C27" i="31"/>
  <c r="L38" i="31"/>
  <c r="K38" i="31"/>
  <c r="J29" i="31"/>
  <c r="K33" i="31"/>
  <c r="C29" i="31"/>
  <c r="L41" i="31"/>
  <c r="C14" i="31"/>
  <c r="I28" i="31"/>
  <c r="G29" i="31"/>
  <c r="K36" i="31"/>
  <c r="K32" i="31"/>
  <c r="C28" i="31"/>
  <c r="G41" i="31"/>
  <c r="I40" i="31"/>
  <c r="L36" i="31"/>
  <c r="C26" i="31"/>
  <c r="K30" i="31"/>
  <c r="C34" i="31"/>
  <c r="J39" i="31"/>
  <c r="I32" i="31"/>
  <c r="K37" i="31"/>
  <c r="O2" i="21" l="1"/>
  <c r="T6" i="21"/>
  <c r="W6" i="21" s="1"/>
  <c r="W9" i="21"/>
  <c r="W8" i="21"/>
  <c r="W7" i="21"/>
  <c r="S9" i="21"/>
  <c r="S8" i="21"/>
  <c r="S7" i="21"/>
  <c r="S4" i="21"/>
  <c r="P5" i="21" s="1"/>
  <c r="S5" i="21" s="1"/>
  <c r="W3" i="21"/>
  <c r="W2" i="21"/>
  <c r="S3" i="21"/>
  <c r="S2" i="21"/>
  <c r="O3" i="21"/>
  <c r="O4" i="21"/>
  <c r="L5" i="21" s="1"/>
  <c r="O5" i="21" s="1"/>
  <c r="O7" i="21"/>
  <c r="O8" i="21"/>
  <c r="O9" i="21"/>
  <c r="F52" i="1" l="1"/>
  <c r="F51" i="1"/>
  <c r="L10" i="21"/>
  <c r="O10" i="21" s="1"/>
  <c r="P10" i="21"/>
  <c r="S10" i="21" s="1"/>
  <c r="T5" i="21"/>
  <c r="W5" i="21" s="1"/>
  <c r="T4" i="21" s="1"/>
  <c r="W4" i="21" s="1"/>
  <c r="L6" i="21"/>
  <c r="O6" i="21" s="1"/>
  <c r="B19" i="21" s="1"/>
  <c r="T10" i="21"/>
  <c r="W10" i="21" s="1"/>
  <c r="P6" i="21"/>
  <c r="S6" i="21" s="1"/>
  <c r="B7" i="21" l="1"/>
  <c r="B6" i="21"/>
  <c r="B24" i="18" l="1"/>
  <c r="B44" i="7"/>
  <c r="B26" i="18"/>
  <c r="B35" i="7"/>
  <c r="D35" i="7" s="1"/>
  <c r="D34" i="7"/>
  <c r="F13" i="7"/>
  <c r="U7" i="20"/>
  <c r="U6" i="20"/>
  <c r="U5" i="20"/>
  <c r="B19" i="7" l="1"/>
  <c r="U9" i="20"/>
  <c r="B20" i="7" s="1"/>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21" i="7" l="1"/>
  <c r="A28" i="22" l="1"/>
  <c r="A29" i="22"/>
  <c r="H16" i="23" l="1"/>
  <c r="I16" i="23" s="1"/>
  <c r="H14" i="23"/>
  <c r="I14" i="23" s="1"/>
  <c r="A35" i="22" l="1"/>
  <c r="A34" i="22"/>
  <c r="A33" i="22"/>
  <c r="A32" i="22"/>
  <c r="A31" i="22"/>
  <c r="AW2" i="20" l="1"/>
  <c r="A19" i="2" s="1"/>
  <c r="AU2" i="20"/>
  <c r="A18" i="2" s="1"/>
  <c r="AS2" i="20"/>
  <c r="A17" i="2" s="1"/>
  <c r="B30" i="1" l="1" a="1"/>
  <c r="B30" i="1" s="1"/>
  <c r="D30" i="1" s="1"/>
  <c r="D30" i="27" l="1"/>
  <c r="E40" i="27"/>
  <c r="E39" i="27"/>
  <c r="F40" i="27"/>
  <c r="A40" i="27"/>
  <c r="A39" i="27"/>
  <c r="D37" i="27"/>
  <c r="B33" i="27"/>
  <c r="D33" i="27" s="1"/>
  <c r="E9" i="27"/>
  <c r="E8" i="27"/>
  <c r="E16" i="25"/>
  <c r="H100" i="8"/>
  <c r="B30" i="26"/>
  <c r="D30" i="26" s="1"/>
  <c r="B29" i="26"/>
  <c r="D29" i="26" s="1"/>
  <c r="E10" i="26"/>
  <c r="E9" i="26"/>
  <c r="E8" i="26"/>
  <c r="E15" i="25"/>
  <c r="E14" i="25"/>
  <c r="E13" i="25"/>
  <c r="B53" i="53" l="1"/>
  <c r="B24" i="53"/>
  <c r="B31" i="27"/>
  <c r="B35" i="27"/>
  <c r="D35" i="27" s="1"/>
  <c r="C47" i="27" s="1"/>
  <c r="B34" i="27"/>
  <c r="D34" i="27" s="1"/>
  <c r="C46" i="27" s="1"/>
  <c r="C49" i="27"/>
  <c r="AC13" i="24" s="1"/>
  <c r="B40" i="27"/>
  <c r="D40" i="27" s="1"/>
  <c r="A6" i="23"/>
  <c r="B103" i="25"/>
  <c r="D103" i="25" s="1"/>
  <c r="B96" i="25"/>
  <c r="D96" i="25" s="1"/>
  <c r="B95" i="25"/>
  <c r="D95" i="25" s="1"/>
  <c r="B63" i="25"/>
  <c r="D63" i="25" s="1"/>
  <c r="B71" i="25"/>
  <c r="D71" i="25" s="1"/>
  <c r="B39" i="25"/>
  <c r="D39" i="25" s="1"/>
  <c r="B64" i="25"/>
  <c r="D64" i="25" s="1"/>
  <c r="B32" i="25"/>
  <c r="D32" i="25" s="1"/>
  <c r="B31" i="25"/>
  <c r="D31" i="25" s="1"/>
  <c r="C54" i="8"/>
  <c r="C14" i="24"/>
  <c r="AG2" i="24"/>
  <c r="AE2" i="24"/>
  <c r="AC2" i="24"/>
  <c r="AA2" i="24"/>
  <c r="U2" i="24"/>
  <c r="S2" i="24"/>
  <c r="Q2" i="24"/>
  <c r="O2" i="24"/>
  <c r="I2" i="24"/>
  <c r="G2" i="24"/>
  <c r="E2" i="24"/>
  <c r="C2" i="24"/>
  <c r="B42" i="27" l="1" a="1"/>
  <c r="B42" i="27" s="1"/>
  <c r="D42" i="27" s="1"/>
  <c r="B24" i="27" a="1"/>
  <c r="B24" i="27" s="1"/>
  <c r="D24" i="27" s="1"/>
  <c r="D31" i="27"/>
  <c r="B27" i="26" a="1"/>
  <c r="B27" i="26" s="1"/>
  <c r="D27" i="26" s="1"/>
  <c r="B97" i="25"/>
  <c r="D97" i="25" s="1"/>
  <c r="C110" i="25" s="1"/>
  <c r="B33" i="25"/>
  <c r="D33" i="25" s="1"/>
  <c r="C46" i="25" s="1"/>
  <c r="B20" i="26" a="1"/>
  <c r="B20" i="26" s="1"/>
  <c r="B23" i="27" a="1"/>
  <c r="B23" i="27" s="1"/>
  <c r="D23" i="27" s="1"/>
  <c r="B65" i="25"/>
  <c r="D65" i="25" s="1"/>
  <c r="C78" i="25" s="1"/>
  <c r="D44" i="27"/>
  <c r="H99" i="8" l="1"/>
  <c r="H98" i="8"/>
  <c r="H79" i="8"/>
  <c r="H78" i="8"/>
  <c r="H77" i="8"/>
  <c r="A57" i="8"/>
  <c r="C9" i="23"/>
  <c r="H6" i="23"/>
  <c r="G6" i="23"/>
  <c r="F6" i="23"/>
  <c r="E6" i="23"/>
  <c r="D6" i="23"/>
  <c r="C6" i="23"/>
  <c r="B6" i="23"/>
  <c r="B59" i="23" l="1"/>
  <c r="B58" i="23"/>
  <c r="C87" i="8" a="1"/>
  <c r="C87" i="8" s="1"/>
  <c r="E14" i="8" s="1"/>
  <c r="C88" i="8" a="1"/>
  <c r="C88" i="8" s="1"/>
  <c r="B42" i="23"/>
  <c r="B51" i="23"/>
  <c r="B56" i="23"/>
  <c r="B52" i="23"/>
  <c r="B49" i="23"/>
  <c r="B22" i="23"/>
  <c r="B27" i="23"/>
  <c r="B48" i="23"/>
  <c r="B15" i="23"/>
  <c r="B20" i="23"/>
  <c r="B33" i="23"/>
  <c r="B55" i="23"/>
  <c r="B32" i="23"/>
  <c r="B16" i="23"/>
  <c r="B36" i="23"/>
  <c r="B39" i="23"/>
  <c r="B41" i="23"/>
  <c r="B26" i="23"/>
  <c r="B23" i="23"/>
  <c r="B18" i="23"/>
  <c r="B57" i="23"/>
  <c r="B29" i="23"/>
  <c r="B47" i="23"/>
  <c r="B13" i="23"/>
  <c r="B28" i="23"/>
  <c r="B12" i="23"/>
  <c r="B31" i="23"/>
  <c r="B43" i="23"/>
  <c r="B37" i="23"/>
  <c r="B10" i="23"/>
  <c r="B38" i="23"/>
  <c r="B25" i="23"/>
  <c r="B54" i="23"/>
  <c r="B50" i="23"/>
  <c r="B14" i="23"/>
  <c r="B45" i="23"/>
  <c r="B21" i="23"/>
  <c r="B30" i="23"/>
  <c r="B46" i="23"/>
  <c r="B34" i="23"/>
  <c r="B11" i="23"/>
  <c r="B53" i="23"/>
  <c r="B24" i="23"/>
  <c r="B40" i="23"/>
  <c r="B19" i="23"/>
  <c r="B35" i="23"/>
  <c r="B44" i="23"/>
  <c r="B17" i="23"/>
  <c r="B9" i="23"/>
  <c r="D87" i="8" l="1"/>
  <c r="F14" i="8"/>
  <c r="D88" i="8"/>
  <c r="A26" i="22"/>
  <c r="A27" i="22"/>
  <c r="A16" i="2"/>
  <c r="A15" i="2"/>
  <c r="A14" i="2"/>
  <c r="A30" i="22"/>
  <c r="E21" i="25" l="1"/>
  <c r="I8" i="8"/>
  <c r="J8" i="8"/>
  <c r="I43" i="8"/>
  <c r="J41" i="8"/>
  <c r="E14" i="26"/>
  <c r="J42" i="8"/>
  <c r="J40" i="8"/>
  <c r="I41" i="8"/>
  <c r="E53" i="25"/>
  <c r="AO2" i="20"/>
  <c r="J12" i="8" a="1"/>
  <c r="J18" i="8" a="1"/>
  <c r="I12" i="8" a="1"/>
  <c r="I18" i="8" a="1"/>
  <c r="C38" i="26" l="1"/>
  <c r="I12" i="8"/>
  <c r="I18" i="8"/>
  <c r="J12" i="8"/>
  <c r="J18" i="8"/>
  <c r="D53" i="53"/>
  <c r="D24" i="53"/>
  <c r="B21" i="53" s="1"/>
  <c r="K42" i="8"/>
  <c r="A124" i="8"/>
  <c r="B124" i="8"/>
  <c r="B122" i="8"/>
  <c r="H115" i="8" s="1"/>
  <c r="A122" i="8"/>
  <c r="B121" i="8"/>
  <c r="A121" i="8"/>
  <c r="B116" i="8"/>
  <c r="A117" i="8" s="1"/>
  <c r="A116" i="8"/>
  <c r="B115" i="8"/>
  <c r="B118" i="8"/>
  <c r="A115" i="8"/>
  <c r="A118" i="8"/>
  <c r="K40" i="8"/>
  <c r="J43" i="8"/>
  <c r="A5" i="22"/>
  <c r="A6" i="22"/>
  <c r="A7" i="22"/>
  <c r="A8" i="22"/>
  <c r="A9" i="22"/>
  <c r="A10" i="22"/>
  <c r="A11" i="22"/>
  <c r="A12" i="22"/>
  <c r="A13" i="22"/>
  <c r="A14" i="22"/>
  <c r="A15" i="22"/>
  <c r="A16" i="22"/>
  <c r="A17" i="22"/>
  <c r="A18" i="22"/>
  <c r="A19" i="22"/>
  <c r="A20" i="22"/>
  <c r="A21" i="22"/>
  <c r="A22" i="22"/>
  <c r="A23" i="22"/>
  <c r="A24" i="22"/>
  <c r="A25" i="22"/>
  <c r="A4" i="22"/>
  <c r="E1" i="22"/>
  <c r="H55" i="8"/>
  <c r="E8" i="1" s="1"/>
  <c r="H54" i="8"/>
  <c r="E9" i="7" s="1"/>
  <c r="F1" i="22"/>
  <c r="B4" i="22"/>
  <c r="A1" i="22"/>
  <c r="B1" i="22"/>
  <c r="C1" i="22"/>
  <c r="D1" i="22"/>
  <c r="B55" i="8" s="1"/>
  <c r="J45" i="8" l="1"/>
  <c r="B25" i="53"/>
  <c r="D25" i="53" s="1"/>
  <c r="D21" i="53"/>
  <c r="B54" i="53"/>
  <c r="D54" i="53" s="1"/>
  <c r="B50" i="53"/>
  <c r="D50" i="53" s="1"/>
  <c r="A123" i="8"/>
  <c r="I4" i="10"/>
  <c r="K4" i="10"/>
  <c r="J4" i="10"/>
  <c r="C56" i="8" a="1"/>
  <c r="C56" i="8" s="1"/>
  <c r="A66" i="2" s="1"/>
  <c r="D56" i="8" a="1"/>
  <c r="D56" i="8" s="1"/>
  <c r="D57" i="8" a="1"/>
  <c r="D57" i="8" s="1"/>
  <c r="C57" i="8" a="1"/>
  <c r="C57" i="8" s="1"/>
  <c r="A67" i="2" s="1"/>
  <c r="L4" i="10"/>
  <c r="E4" i="10" a="1"/>
  <c r="E4" i="10" s="1"/>
  <c r="F4" i="10" a="1"/>
  <c r="F4" i="10" s="1"/>
  <c r="D4" i="10" a="1"/>
  <c r="D4" i="10" s="1"/>
  <c r="B56" i="8" a="1"/>
  <c r="B56" i="8" s="1"/>
  <c r="E8" i="7"/>
  <c r="E10" i="1"/>
  <c r="B57" i="8" a="1"/>
  <c r="B57" i="8" s="1"/>
  <c r="A58" i="8"/>
  <c r="B108" i="8" l="1"/>
  <c r="H162" i="8"/>
  <c r="H161" i="8"/>
  <c r="A20" i="1"/>
  <c r="F20" i="1"/>
  <c r="C58" i="8" a="1"/>
  <c r="C58" i="8" s="1"/>
  <c r="A68" i="2" s="1"/>
  <c r="D58" i="8" a="1"/>
  <c r="D58" i="8" s="1"/>
  <c r="G62" i="8"/>
  <c r="B66" i="8"/>
  <c r="A66" i="8"/>
  <c r="A67" i="8"/>
  <c r="G65" i="8"/>
  <c r="G64" i="8"/>
  <c r="G63" i="8"/>
  <c r="B27" i="1" a="1"/>
  <c r="B27" i="1" s="1"/>
  <c r="A59" i="8"/>
  <c r="B58" i="8" a="1"/>
  <c r="B58" i="8" s="1"/>
  <c r="E15" i="27" l="1"/>
  <c r="B36" i="27" s="1" a="1"/>
  <c r="B36" i="27" s="1"/>
  <c r="D36" i="27" s="1"/>
  <c r="C48" i="27" s="1"/>
  <c r="H89" i="8"/>
  <c r="G107" i="8"/>
  <c r="H157" i="8"/>
  <c r="C59" i="8" a="1"/>
  <c r="C59" i="8" s="1"/>
  <c r="A69" i="2" s="1"/>
  <c r="D59" i="8" a="1"/>
  <c r="D59" i="8" s="1"/>
  <c r="B81" i="8" a="1"/>
  <c r="B81" i="8" s="1"/>
  <c r="C79" i="8"/>
  <c r="A82" i="8" s="1"/>
  <c r="C81" i="8" a="1"/>
  <c r="C81" i="8" s="1"/>
  <c r="D81" i="8" a="1"/>
  <c r="D81" i="8" s="1"/>
  <c r="A60" i="8"/>
  <c r="B59" i="8" a="1"/>
  <c r="B59" i="8" s="1"/>
  <c r="B25" i="27" l="1" a="1"/>
  <c r="B25" i="27" s="1"/>
  <c r="L20" i="8"/>
  <c r="K161" i="8"/>
  <c r="K162" i="8"/>
  <c r="B39" i="27"/>
  <c r="D39" i="27" s="1"/>
  <c r="C60" i="8" a="1"/>
  <c r="C60" i="8" s="1"/>
  <c r="A70" i="2" s="1"/>
  <c r="D60" i="8" a="1"/>
  <c r="D60" i="8" s="1"/>
  <c r="H80" i="8"/>
  <c r="D22" i="40"/>
  <c r="G89" i="8"/>
  <c r="C82" i="8" a="1"/>
  <c r="C82" i="8" s="1"/>
  <c r="B82" i="8" a="1"/>
  <c r="B82" i="8" s="1"/>
  <c r="D82" i="8" a="1"/>
  <c r="D82" i="8" s="1"/>
  <c r="B60" i="8" a="1"/>
  <c r="B60" i="8" s="1"/>
  <c r="A61" i="8"/>
  <c r="E106" i="8" a="1"/>
  <c r="E87" i="8" a="1"/>
  <c r="E106" i="8" l="1"/>
  <c r="E85" i="25"/>
  <c r="D61" i="8" a="1"/>
  <c r="D61" i="8" s="1"/>
  <c r="C61" i="8" a="1"/>
  <c r="C61" i="8" s="1"/>
  <c r="A71" i="2" s="1"/>
  <c r="B37" i="25" a="1"/>
  <c r="B37" i="25" s="1"/>
  <c r="D37" i="25" s="1"/>
  <c r="B35" i="25" a="1"/>
  <c r="B35" i="25" s="1"/>
  <c r="D35" i="25" s="1"/>
  <c r="B41" i="25" s="1"/>
  <c r="B36" i="25" a="1"/>
  <c r="B36" i="25" s="1"/>
  <c r="D36" i="25" s="1"/>
  <c r="G12" i="49" s="1"/>
  <c r="B69" i="25" a="1"/>
  <c r="B69" i="25" s="1"/>
  <c r="D69" i="25" s="1"/>
  <c r="B67" i="25" a="1"/>
  <c r="B67" i="25" s="1"/>
  <c r="D67" i="25" s="1"/>
  <c r="B73" i="25" s="1"/>
  <c r="D73" i="25" s="1"/>
  <c r="B38" i="25" a="1"/>
  <c r="B38" i="25" s="1"/>
  <c r="D38" i="25" s="1"/>
  <c r="G9" i="49" s="1"/>
  <c r="E56" i="25" a="1"/>
  <c r="E56" i="25" s="1"/>
  <c r="E87" i="8"/>
  <c r="A57" i="25"/>
  <c r="B62" i="25" a="1"/>
  <c r="B62" i="25" s="1"/>
  <c r="D62" i="25" s="1"/>
  <c r="B70" i="25" a="1"/>
  <c r="B70" i="25" s="1"/>
  <c r="D70" i="25" s="1"/>
  <c r="I9" i="49" s="1"/>
  <c r="E24" i="25" a="1"/>
  <c r="E24" i="25" s="1"/>
  <c r="B68" i="25" a="1"/>
  <c r="B68" i="25" s="1"/>
  <c r="D68" i="25" s="1"/>
  <c r="A25" i="25"/>
  <c r="B30" i="25" a="1"/>
  <c r="B30" i="25" s="1"/>
  <c r="D30" i="25" s="1"/>
  <c r="B61" i="8" a="1"/>
  <c r="B61" i="8" s="1"/>
  <c r="A29" i="2" s="1"/>
  <c r="A31" i="2" l="1"/>
  <c r="A30" i="2"/>
  <c r="H88" i="8"/>
  <c r="I12" i="49"/>
  <c r="C12" i="49"/>
  <c r="K41" i="8"/>
  <c r="C10" i="49" s="1"/>
  <c r="E16" i="26"/>
  <c r="E21" i="26"/>
  <c r="D20" i="26"/>
  <c r="B33" i="26" a="1"/>
  <c r="B33" i="26" s="1"/>
  <c r="D33" i="26" s="1"/>
  <c r="B21" i="26" a="1"/>
  <c r="B21" i="26" s="1"/>
  <c r="D21" i="26" s="1"/>
  <c r="B35" i="26" a="1"/>
  <c r="B35" i="26" s="1"/>
  <c r="D35" i="26" s="1"/>
  <c r="B25" i="26" a="1"/>
  <c r="B25" i="26" s="1"/>
  <c r="D25" i="26" s="1"/>
  <c r="B26" i="26" a="1"/>
  <c r="B26" i="26" s="1"/>
  <c r="D26" i="26" s="1"/>
  <c r="C37" i="26" s="1"/>
  <c r="H101" i="8"/>
  <c r="E26" i="27"/>
  <c r="B26" i="27" a="1"/>
  <c r="B26" i="27" s="1"/>
  <c r="D26" i="27" s="1"/>
  <c r="D25" i="27"/>
  <c r="B101" i="25" a="1"/>
  <c r="B101" i="25" s="1"/>
  <c r="D101" i="25" s="1"/>
  <c r="B100" i="25" a="1"/>
  <c r="B100" i="25" s="1"/>
  <c r="D100" i="25" s="1"/>
  <c r="E12" i="49" s="1"/>
  <c r="B99" i="25" a="1"/>
  <c r="B99" i="25" s="1"/>
  <c r="D99" i="25" s="1"/>
  <c r="B105" i="25" s="1"/>
  <c r="D105" i="25" s="1"/>
  <c r="B102" i="25" a="1"/>
  <c r="B102" i="25" s="1"/>
  <c r="D102" i="25" s="1"/>
  <c r="K9" i="49" s="1"/>
  <c r="B94" i="25" a="1"/>
  <c r="B94" i="25" s="1"/>
  <c r="D94" i="25" s="1"/>
  <c r="E88" i="25" a="1"/>
  <c r="E88" i="25" s="1"/>
  <c r="A89" i="25"/>
  <c r="B75" i="25"/>
  <c r="D75" i="25" s="1"/>
  <c r="B74" i="25"/>
  <c r="D74" i="25" s="1"/>
  <c r="I10" i="49" s="1"/>
  <c r="F74" i="25"/>
  <c r="B43" i="25"/>
  <c r="D43" i="25" s="1"/>
  <c r="D41" i="25"/>
  <c r="B42" i="25" s="1"/>
  <c r="C47" i="25"/>
  <c r="C48" i="25" s="1"/>
  <c r="C79" i="25"/>
  <c r="C80" i="25" s="1"/>
  <c r="H87" i="8" s="1"/>
  <c r="A13" i="2"/>
  <c r="AQ2" i="20"/>
  <c r="H107" i="8" l="1"/>
  <c r="F106" i="25"/>
  <c r="B52" i="53"/>
  <c r="D52" i="53" s="1"/>
  <c r="B27" i="27"/>
  <c r="D27" i="27" s="1"/>
  <c r="C53" i="27" s="1"/>
  <c r="K43" i="8"/>
  <c r="K45" i="8" s="1"/>
  <c r="B22" i="26"/>
  <c r="D22" i="26" s="1"/>
  <c r="F32" i="26"/>
  <c r="A33" i="26"/>
  <c r="A32" i="26"/>
  <c r="F33" i="26"/>
  <c r="C111" i="25"/>
  <c r="C112" i="25" s="1"/>
  <c r="A10" i="25" s="1"/>
  <c r="K12" i="49"/>
  <c r="B28" i="33" s="1" a="1"/>
  <c r="B28" i="33" s="1"/>
  <c r="D28" i="33" s="1"/>
  <c r="B107" i="25"/>
  <c r="D107" i="25" s="1"/>
  <c r="B106" i="25"/>
  <c r="D106" i="25" s="1"/>
  <c r="L61" i="25"/>
  <c r="F42" i="25"/>
  <c r="A76" i="25"/>
  <c r="D42" i="25"/>
  <c r="G10" i="49" s="1"/>
  <c r="A5" i="25"/>
  <c r="D22" i="11"/>
  <c r="D31" i="7"/>
  <c r="F13" i="1"/>
  <c r="D25" i="1"/>
  <c r="AM2" i="20"/>
  <c r="AK2" i="20"/>
  <c r="AI2" i="20"/>
  <c r="AG2" i="20"/>
  <c r="AA12" i="20"/>
  <c r="B26" i="11" s="1"/>
  <c r="B28" i="11"/>
  <c r="B21" i="11"/>
  <c r="B20" i="11"/>
  <c r="B19" i="11"/>
  <c r="B18" i="11"/>
  <c r="B17" i="11"/>
  <c r="D17" i="11" s="1"/>
  <c r="E9" i="11"/>
  <c r="C51" i="27" l="1"/>
  <c r="B35" i="8"/>
  <c r="E35" i="8" s="1"/>
  <c r="O9" i="49"/>
  <c r="M10" i="49"/>
  <c r="D72" i="53"/>
  <c r="D73" i="53" s="1"/>
  <c r="J11" i="8"/>
  <c r="B59" i="53"/>
  <c r="D59" i="53" s="1"/>
  <c r="B123" i="8"/>
  <c r="B60" i="53"/>
  <c r="D60" i="53" s="1"/>
  <c r="B21" i="1" a="1"/>
  <c r="B21" i="1" s="1"/>
  <c r="AA10" i="49"/>
  <c r="Y10" i="49"/>
  <c r="U10" i="49"/>
  <c r="S10" i="49"/>
  <c r="AE10" i="49"/>
  <c r="W10" i="49"/>
  <c r="AC10" i="49"/>
  <c r="Q10" i="49"/>
  <c r="E10" i="49"/>
  <c r="O10" i="49"/>
  <c r="K12" i="37"/>
  <c r="K7" i="40" s="1"/>
  <c r="D44" i="26"/>
  <c r="K6" i="43"/>
  <c r="O6" i="43" s="1"/>
  <c r="D56" i="27"/>
  <c r="B28" i="27"/>
  <c r="D28" i="27" s="1"/>
  <c r="C52" i="27"/>
  <c r="B23" i="26"/>
  <c r="D23" i="26" s="1"/>
  <c r="C40" i="26" s="1"/>
  <c r="D4" i="12" a="1"/>
  <c r="D4" i="12" s="1"/>
  <c r="G4" i="12"/>
  <c r="L93" i="25"/>
  <c r="A108" i="25"/>
  <c r="K10" i="49"/>
  <c r="L29" i="25"/>
  <c r="B16" i="11"/>
  <c r="A44" i="25"/>
  <c r="B41" i="7" a="1"/>
  <c r="B41" i="7" s="1"/>
  <c r="M12" i="21" a="1"/>
  <c r="M12" i="21" s="1"/>
  <c r="P12" i="21" a="1"/>
  <c r="P12" i="21" s="1"/>
  <c r="S12" i="21" s="1"/>
  <c r="U12" i="21" a="1"/>
  <c r="U12" i="21" s="1"/>
  <c r="T12" i="21" a="1"/>
  <c r="T12" i="21" s="1"/>
  <c r="W12" i="21" s="1"/>
  <c r="Q12" i="21" a="1"/>
  <c r="Q12" i="21" s="1"/>
  <c r="L12" i="21" a="1"/>
  <c r="L12" i="21" s="1"/>
  <c r="B43" i="1" a="1"/>
  <c r="B43" i="1" s="1"/>
  <c r="B47" i="1" a="1"/>
  <c r="B47" i="1" s="1"/>
  <c r="D27" i="1"/>
  <c r="M5" i="20"/>
  <c r="K5" i="20"/>
  <c r="T5" i="18"/>
  <c r="F48" i="7"/>
  <c r="F46" i="7"/>
  <c r="F47" i="7"/>
  <c r="D25" i="7"/>
  <c r="B24" i="7"/>
  <c r="D24" i="7" s="1"/>
  <c r="B27" i="7"/>
  <c r="D27" i="7" s="1"/>
  <c r="B26" i="7"/>
  <c r="D26" i="7" s="1"/>
  <c r="B23" i="7"/>
  <c r="D23" i="7" s="1"/>
  <c r="B32" i="7"/>
  <c r="B30" i="7"/>
  <c r="B29" i="7"/>
  <c r="B70" i="53" l="1"/>
  <c r="D70" i="53" s="1"/>
  <c r="D80" i="53" s="1"/>
  <c r="B26" i="33" a="1"/>
  <c r="B26" i="33" s="1"/>
  <c r="D26" i="33" s="1"/>
  <c r="B23" i="1" a="1"/>
  <c r="B23" i="1" s="1"/>
  <c r="O12" i="21"/>
  <c r="C6" i="21" s="1"/>
  <c r="D19" i="7"/>
  <c r="B46" i="7" s="1"/>
  <c r="D20" i="7"/>
  <c r="B47" i="7" s="1"/>
  <c r="C3" i="21"/>
  <c r="D3" i="21"/>
  <c r="E3" i="21"/>
  <c r="F3" i="21"/>
  <c r="G3" i="21"/>
  <c r="B3" i="21"/>
  <c r="B30" i="33" l="1"/>
  <c r="D30" i="33" s="1"/>
  <c r="B38" i="33"/>
  <c r="D38" i="33" s="1"/>
  <c r="B29" i="33" s="1"/>
  <c r="D29" i="33" s="1"/>
  <c r="B31" i="33" s="1"/>
  <c r="D31" i="33" s="1"/>
  <c r="D21" i="7"/>
  <c r="C7" i="21"/>
  <c r="D18" i="21"/>
  <c r="E18" i="21" s="1"/>
  <c r="B35" i="33" a="1"/>
  <c r="B35" i="33" l="1"/>
  <c r="D35" i="33" s="1"/>
  <c r="F19" i="21"/>
  <c r="G19" i="21" s="1"/>
  <c r="B17" i="21"/>
  <c r="C17" i="21" s="1"/>
  <c r="F15" i="21"/>
  <c r="G15" i="21" s="1"/>
  <c r="F10" i="21"/>
  <c r="G10" i="21" s="1"/>
  <c r="F18" i="21"/>
  <c r="G18" i="21" s="1"/>
  <c r="F9" i="21"/>
  <c r="G9" i="21" s="1"/>
  <c r="F17" i="21"/>
  <c r="G17" i="21" s="1"/>
  <c r="F11" i="21"/>
  <c r="G11" i="21" s="1"/>
  <c r="B9" i="21"/>
  <c r="C9" i="21" s="1"/>
  <c r="F6" i="21"/>
  <c r="G6" i="21" s="1"/>
  <c r="F13" i="21"/>
  <c r="G13" i="21" s="1"/>
  <c r="F8" i="21"/>
  <c r="G8" i="21" s="1"/>
  <c r="F16" i="21"/>
  <c r="G16" i="21" s="1"/>
  <c r="F14" i="21"/>
  <c r="G14" i="21" s="1"/>
  <c r="F12" i="21"/>
  <c r="G12" i="21" s="1"/>
  <c r="B15" i="21"/>
  <c r="C15" i="21" s="1"/>
  <c r="D14" i="21"/>
  <c r="E14" i="21" s="1"/>
  <c r="B11" i="21"/>
  <c r="B8" i="21"/>
  <c r="C8" i="21" s="1"/>
  <c r="D19" i="21"/>
  <c r="E19" i="21" s="1"/>
  <c r="D12" i="21"/>
  <c r="E12" i="21" s="1"/>
  <c r="B16" i="21"/>
  <c r="C16" i="21" s="1"/>
  <c r="D10" i="21"/>
  <c r="E10" i="21" s="1"/>
  <c r="B10" i="21"/>
  <c r="C10" i="21" s="1"/>
  <c r="D6" i="21"/>
  <c r="E6" i="21" s="1"/>
  <c r="C19" i="21"/>
  <c r="B18" i="21"/>
  <c r="C18" i="21" s="1"/>
  <c r="B14" i="21"/>
  <c r="C14" i="21" s="1"/>
  <c r="F7" i="21"/>
  <c r="G7" i="21" s="1"/>
  <c r="B12" i="21"/>
  <c r="C12" i="21" s="1"/>
  <c r="B13" i="21"/>
  <c r="C13" i="21" s="1"/>
  <c r="D15" i="21"/>
  <c r="E15" i="21" s="1"/>
  <c r="D8" i="21"/>
  <c r="E8" i="21" s="1"/>
  <c r="D17" i="21"/>
  <c r="E17" i="21" s="1"/>
  <c r="D16" i="21"/>
  <c r="E16" i="21" s="1"/>
  <c r="D9" i="21"/>
  <c r="E9" i="21" s="1"/>
  <c r="D7" i="21"/>
  <c r="E7" i="21" s="1"/>
  <c r="D11" i="21"/>
  <c r="E11" i="21" s="1"/>
  <c r="D13" i="21"/>
  <c r="E13" i="21" s="1"/>
  <c r="C11" i="21" l="1"/>
  <c r="D12" i="39" s="1" a="1"/>
  <c r="D12" i="39" s="1"/>
  <c r="D6" i="31" a="1"/>
  <c r="D6" i="31" s="1"/>
  <c r="D10" i="31" a="1"/>
  <c r="D10" i="31" s="1"/>
  <c r="D12" i="45" a="1"/>
  <c r="D12" i="45" s="1"/>
  <c r="D9" i="31" a="1"/>
  <c r="D9" i="31" s="1"/>
  <c r="D7" i="31" a="1"/>
  <c r="D7" i="31" s="1"/>
  <c r="D11" i="31" a="1"/>
  <c r="D11" i="31" s="1"/>
  <c r="D12" i="31" a="1"/>
  <c r="D12" i="31" s="1"/>
  <c r="D8" i="31" a="1"/>
  <c r="D8" i="31" s="1"/>
  <c r="D41" i="45" a="1"/>
  <c r="D41" i="45" s="1"/>
  <c r="D36" i="45" a="1"/>
  <c r="D36" i="45" s="1"/>
  <c r="D20" i="31" a="1"/>
  <c r="D20" i="31" s="1"/>
  <c r="D21" i="31" a="1"/>
  <c r="D21" i="31" s="1"/>
  <c r="D34" i="45" a="1"/>
  <c r="D34" i="45" s="1"/>
  <c r="D33" i="45" a="1"/>
  <c r="D33" i="45" s="1"/>
  <c r="D25" i="39" a="1"/>
  <c r="D25" i="39" s="1"/>
  <c r="D40" i="45" a="1"/>
  <c r="D40" i="45" s="1"/>
  <c r="D35" i="45" a="1"/>
  <c r="D35" i="45" s="1"/>
  <c r="D14" i="31" a="1"/>
  <c r="D14" i="31" s="1"/>
  <c r="D23" i="31" a="1"/>
  <c r="D23" i="31" s="1"/>
  <c r="D38" i="45" a="1"/>
  <c r="D38" i="45" s="1"/>
  <c r="D17" i="39" a="1"/>
  <c r="D17" i="39" s="1"/>
  <c r="D31" i="39" a="1"/>
  <c r="D31" i="39" s="1"/>
  <c r="D16" i="31" a="1"/>
  <c r="D16" i="31" s="1"/>
  <c r="D27" i="31" a="1"/>
  <c r="D27" i="31" s="1"/>
  <c r="D25" i="31" a="1"/>
  <c r="D25" i="31" s="1"/>
  <c r="D24" i="31" a="1"/>
  <c r="D24" i="31" s="1"/>
  <c r="D26" i="31" a="1"/>
  <c r="D26" i="31" s="1"/>
  <c r="D13" i="31" a="1"/>
  <c r="D13" i="31" s="1"/>
  <c r="D32" i="39" a="1"/>
  <c r="D32" i="39" s="1"/>
  <c r="D30" i="39" a="1"/>
  <c r="D30" i="39" s="1"/>
  <c r="D22" i="31" a="1"/>
  <c r="D22" i="31" s="1"/>
  <c r="D19" i="31" a="1"/>
  <c r="D19" i="31" s="1"/>
  <c r="D29" i="39" a="1"/>
  <c r="D29" i="39" s="1"/>
  <c r="D20" i="39" a="1"/>
  <c r="D20" i="39" s="1"/>
  <c r="D15" i="31" a="1"/>
  <c r="D15" i="31" s="1"/>
  <c r="D18" i="31" a="1"/>
  <c r="D18" i="31" s="1"/>
  <c r="D20" i="45" a="1"/>
  <c r="D20" i="45" s="1"/>
  <c r="D24" i="39" a="1"/>
  <c r="D24" i="39" s="1"/>
  <c r="D15" i="39" a="1"/>
  <c r="D15" i="39" s="1"/>
  <c r="D22" i="39" a="1"/>
  <c r="D22" i="39" s="1"/>
  <c r="D26" i="39" a="1"/>
  <c r="D26" i="39" s="1"/>
  <c r="D29" i="45" a="1"/>
  <c r="D29" i="45" s="1"/>
  <c r="D21" i="45" a="1"/>
  <c r="D21" i="45" s="1"/>
  <c r="D23" i="39" a="1"/>
  <c r="D23" i="39" s="1"/>
  <c r="D27" i="39" a="1"/>
  <c r="D27" i="39" s="1"/>
  <c r="D21" i="39" a="1"/>
  <c r="D21" i="39" s="1"/>
  <c r="D23" i="45" a="1"/>
  <c r="D23" i="45" s="1"/>
  <c r="D13" i="39" a="1"/>
  <c r="D13" i="39" s="1"/>
  <c r="D16" i="39" a="1"/>
  <c r="D16" i="39" s="1"/>
  <c r="D25" i="45" a="1"/>
  <c r="D25" i="45" s="1"/>
  <c r="D42" i="45" a="1"/>
  <c r="D42" i="45" s="1"/>
  <c r="D28" i="39" a="1"/>
  <c r="D28" i="39" s="1"/>
  <c r="D19" i="39" a="1"/>
  <c r="D19" i="39" s="1"/>
  <c r="D39" i="45" a="1"/>
  <c r="D39" i="45" s="1"/>
  <c r="D22" i="45" a="1"/>
  <c r="D22" i="45" s="1"/>
  <c r="D28" i="45" a="1"/>
  <c r="D28" i="45" s="1"/>
  <c r="D37" i="45" a="1"/>
  <c r="D37" i="45" s="1"/>
  <c r="D32" i="45" a="1"/>
  <c r="D32" i="45" s="1"/>
  <c r="D17" i="31" a="1"/>
  <c r="D17" i="31" s="1"/>
  <c r="B29" i="1" a="1"/>
  <c r="B29" i="1" s="1"/>
  <c r="D29" i="1" s="1"/>
  <c r="B44" i="1"/>
  <c r="D19" i="45" l="1" a="1"/>
  <c r="D19" i="45" s="1"/>
  <c r="D16" i="45" a="1"/>
  <c r="D16" i="45" s="1"/>
  <c r="D15" i="45" a="1"/>
  <c r="D15" i="45" s="1"/>
  <c r="D27" i="45" a="1"/>
  <c r="D27" i="45" s="1"/>
  <c r="D7" i="45" a="1"/>
  <c r="D7" i="45" s="1"/>
  <c r="D18" i="39" a="1"/>
  <c r="D18" i="39" s="1"/>
  <c r="D17" i="45" a="1"/>
  <c r="D17" i="45" s="1"/>
  <c r="D11" i="39" a="1"/>
  <c r="D11" i="39" s="1"/>
  <c r="D8" i="39" a="1"/>
  <c r="D8" i="39" s="1"/>
  <c r="D14" i="39" a="1"/>
  <c r="D14" i="39" s="1"/>
  <c r="D13" i="45" a="1"/>
  <c r="D13" i="45" s="1"/>
  <c r="D10" i="45" a="1"/>
  <c r="D10" i="45" s="1"/>
  <c r="D7" i="39" a="1"/>
  <c r="D7" i="39" s="1"/>
  <c r="D24" i="45" a="1"/>
  <c r="D24" i="45" s="1"/>
  <c r="D26" i="45" a="1"/>
  <c r="D26" i="45" s="1"/>
  <c r="D5" i="45" a="1"/>
  <c r="D5" i="45" s="1"/>
  <c r="D9" i="39" a="1"/>
  <c r="D9" i="39" s="1"/>
  <c r="D10" i="39" a="1"/>
  <c r="D10" i="39" s="1"/>
  <c r="D31" i="45" a="1"/>
  <c r="D31" i="45" s="1"/>
  <c r="D8" i="45" a="1"/>
  <c r="D8" i="45" s="1"/>
  <c r="D30" i="45" a="1"/>
  <c r="D30" i="45" s="1"/>
  <c r="D9" i="45" a="1"/>
  <c r="D9" i="45" s="1"/>
  <c r="D5" i="39" a="1"/>
  <c r="D5" i="39" s="1"/>
  <c r="D18" i="45" a="1"/>
  <c r="D18" i="45" s="1"/>
  <c r="D11" i="45" a="1"/>
  <c r="D11" i="45" s="1"/>
  <c r="D14" i="45" a="1"/>
  <c r="D14" i="45" s="1"/>
  <c r="D6" i="45" a="1"/>
  <c r="D6" i="45" s="1"/>
  <c r="D6" i="39" a="1"/>
  <c r="D6" i="39" s="1"/>
  <c r="K4" i="4"/>
  <c r="J4" i="4"/>
  <c r="C4" i="4"/>
  <c r="D47" i="1"/>
  <c r="D43" i="1"/>
  <c r="D44" i="1"/>
  <c r="B39" i="1" a="1"/>
  <c r="B39" i="1" s="1"/>
  <c r="B40" i="1" a="1"/>
  <c r="B40" i="1" s="1"/>
  <c r="B37" i="1" a="1"/>
  <c r="B37" i="1" s="1"/>
  <c r="B36" i="1" a="1"/>
  <c r="B36" i="1" s="1"/>
  <c r="B35" i="1" a="1"/>
  <c r="B35" i="1" s="1"/>
  <c r="B32" i="1" a="1"/>
  <c r="B32" i="1" s="1"/>
  <c r="D40" i="1" l="1"/>
  <c r="D39" i="1"/>
  <c r="D21" i="1"/>
  <c r="B50" i="1" s="1"/>
  <c r="D37" i="1"/>
  <c r="D36" i="1"/>
  <c r="D35" i="1"/>
  <c r="B28" i="1" s="1" a="1"/>
  <c r="B28" i="1" s="1"/>
  <c r="D28" i="1" l="1"/>
  <c r="B26" i="1" a="1"/>
  <c r="B26" i="1" s="1"/>
  <c r="B33" i="1" a="1"/>
  <c r="B33" i="1" s="1"/>
  <c r="B41" i="1" a="1"/>
  <c r="B41" i="1" s="1"/>
  <c r="D41" i="1" s="1"/>
  <c r="F4" i="12" l="1"/>
  <c r="C4" i="12"/>
  <c r="J4" i="12" s="1"/>
  <c r="H4" i="12"/>
  <c r="M4" i="12"/>
  <c r="K4" i="12" l="1"/>
  <c r="J12" i="21"/>
  <c r="N4" i="12"/>
  <c r="H4" i="10"/>
  <c r="D47" i="7"/>
  <c r="A1" i="21"/>
  <c r="C4" i="10"/>
  <c r="S4" i="10"/>
  <c r="P4" i="10" l="1"/>
  <c r="N4" i="10"/>
  <c r="Q4" i="10"/>
  <c r="O4" i="10"/>
  <c r="B48" i="7"/>
  <c r="D48" i="7" s="1"/>
  <c r="D46" i="7"/>
  <c r="T4" i="10"/>
  <c r="G4" i="10" l="1"/>
  <c r="M4" i="10" l="1"/>
  <c r="R4" i="10" s="1"/>
  <c r="D28" i="11"/>
  <c r="D30" i="7"/>
  <c r="D18" i="11"/>
  <c r="D29" i="7"/>
  <c r="D41" i="7"/>
  <c r="D21" i="11"/>
  <c r="D32" i="7"/>
  <c r="D20" i="11"/>
  <c r="D19" i="11"/>
  <c r="D26" i="11"/>
  <c r="D44" i="7"/>
  <c r="D26" i="1"/>
  <c r="D24" i="1"/>
  <c r="D23" i="1"/>
  <c r="D50" i="1"/>
  <c r="D33" i="1"/>
  <c r="D32" i="1"/>
  <c r="B69" i="8" l="1"/>
  <c r="D30" i="12" a="1"/>
  <c r="D30" i="12" s="1"/>
  <c r="D31" i="12" a="1"/>
  <c r="D31" i="12" s="1"/>
  <c r="D26" i="12" a="1"/>
  <c r="D26" i="12" s="1"/>
  <c r="D28" i="12" a="1"/>
  <c r="D28" i="12" s="1"/>
  <c r="D33" i="12" a="1"/>
  <c r="D33" i="12" s="1"/>
  <c r="D18" i="12" a="1"/>
  <c r="D18" i="12" s="1"/>
  <c r="D27" i="12" a="1"/>
  <c r="D27" i="12" s="1"/>
  <c r="D22" i="12" a="1"/>
  <c r="D22" i="12" s="1"/>
  <c r="D12" i="12" a="1"/>
  <c r="D12" i="12" s="1"/>
  <c r="D29" i="12" a="1"/>
  <c r="D29" i="12" s="1"/>
  <c r="D14" i="12" a="1"/>
  <c r="D14" i="12" s="1"/>
  <c r="D5" i="12" a="1"/>
  <c r="D5" i="12" s="1"/>
  <c r="D23" i="12" a="1"/>
  <c r="D23" i="12" s="1"/>
  <c r="D6" i="12" a="1"/>
  <c r="D6" i="12" s="1"/>
  <c r="D42" i="12" a="1"/>
  <c r="D42" i="12" s="1"/>
  <c r="D25" i="12" a="1"/>
  <c r="D25" i="12" s="1"/>
  <c r="D35" i="12" a="1"/>
  <c r="D35" i="12" s="1"/>
  <c r="D36" i="12" a="1"/>
  <c r="D36" i="12" s="1"/>
  <c r="D19" i="12" a="1"/>
  <c r="D19" i="12" s="1"/>
  <c r="D9" i="12" a="1"/>
  <c r="D9" i="12" s="1"/>
  <c r="D10" i="12" a="1"/>
  <c r="D10" i="12" s="1"/>
  <c r="D21" i="12" a="1"/>
  <c r="D21" i="12" s="1"/>
  <c r="D20" i="12" a="1"/>
  <c r="D20" i="12" s="1"/>
  <c r="D15" i="12" a="1"/>
  <c r="D15" i="12" s="1"/>
  <c r="D40" i="12" a="1"/>
  <c r="D40" i="12" s="1"/>
  <c r="D13" i="12" a="1"/>
  <c r="D13" i="12" s="1"/>
  <c r="D17" i="12" a="1"/>
  <c r="D17" i="12" s="1"/>
  <c r="D11" i="12" a="1"/>
  <c r="D11" i="12" s="1"/>
  <c r="D16" i="12" a="1"/>
  <c r="D16" i="12" s="1"/>
  <c r="D24" i="12" a="1"/>
  <c r="D24" i="12" s="1"/>
  <c r="D32" i="12" a="1"/>
  <c r="D32" i="12" s="1"/>
  <c r="D37" i="12" a="1"/>
  <c r="D37" i="12" s="1"/>
  <c r="D39" i="12" a="1"/>
  <c r="D39" i="12" s="1"/>
  <c r="D7" i="12" a="1"/>
  <c r="D7" i="12" s="1"/>
  <c r="D34" i="12" a="1"/>
  <c r="D34" i="12" s="1"/>
  <c r="D41" i="12" a="1"/>
  <c r="D41" i="12" s="1"/>
  <c r="D8" i="12" a="1"/>
  <c r="D8" i="12" s="1"/>
  <c r="D38" i="12" a="1"/>
  <c r="D38" i="12" s="1"/>
  <c r="I39" i="10"/>
  <c r="K38" i="10"/>
  <c r="I41" i="10"/>
  <c r="I38" i="10"/>
  <c r="I42" i="10"/>
  <c r="K39" i="10"/>
  <c r="K42" i="10"/>
  <c r="K41" i="10"/>
  <c r="I40" i="10"/>
  <c r="K40" i="10"/>
  <c r="G41" i="12"/>
  <c r="G39" i="12"/>
  <c r="G42" i="12"/>
  <c r="G40" i="12"/>
  <c r="G38" i="12"/>
  <c r="D6" i="4" a="1"/>
  <c r="D6" i="4" s="1"/>
  <c r="D12" i="4" a="1"/>
  <c r="D12" i="4" s="1"/>
  <c r="D7" i="4" a="1"/>
  <c r="D7" i="4" s="1"/>
  <c r="D8" i="4" a="1"/>
  <c r="D8" i="4" s="1"/>
  <c r="D9" i="4" a="1"/>
  <c r="D9" i="4" s="1"/>
  <c r="D11" i="4" a="1"/>
  <c r="D11" i="4" s="1"/>
  <c r="D10" i="4" a="1"/>
  <c r="D10" i="4" s="1"/>
  <c r="D5" i="4" a="1"/>
  <c r="D5" i="4" s="1"/>
  <c r="D35" i="4" a="1"/>
  <c r="D35" i="4" s="1"/>
  <c r="D27" i="4" a="1"/>
  <c r="D27" i="4" s="1"/>
  <c r="D19" i="4" a="1"/>
  <c r="D19" i="4" s="1"/>
  <c r="D42" i="4" a="1"/>
  <c r="D42" i="4" s="1"/>
  <c r="D34" i="4" a="1"/>
  <c r="D34" i="4" s="1"/>
  <c r="D26" i="4" a="1"/>
  <c r="D26" i="4" s="1"/>
  <c r="D41" i="4" a="1"/>
  <c r="D41" i="4" s="1"/>
  <c r="D33" i="4" a="1"/>
  <c r="D33" i="4" s="1"/>
  <c r="D25" i="4" a="1"/>
  <c r="D25" i="4" s="1"/>
  <c r="D17" i="4" a="1"/>
  <c r="D17" i="4" s="1"/>
  <c r="D37" i="4" a="1"/>
  <c r="D37" i="4" s="1"/>
  <c r="D29" i="4" a="1"/>
  <c r="D29" i="4" s="1"/>
  <c r="D13" i="4" a="1"/>
  <c r="D13" i="4" s="1"/>
  <c r="D30" i="4" a="1"/>
  <c r="D30" i="4" s="1"/>
  <c r="D22" i="4" a="1"/>
  <c r="D22" i="4" s="1"/>
  <c r="D14" i="4" a="1"/>
  <c r="D14" i="4" s="1"/>
  <c r="D21" i="4" a="1"/>
  <c r="D21" i="4" s="1"/>
  <c r="D18" i="4" a="1"/>
  <c r="D18" i="4" s="1"/>
  <c r="D40" i="4" a="1"/>
  <c r="D40" i="4" s="1"/>
  <c r="D23" i="4" a="1"/>
  <c r="D23" i="4" s="1"/>
  <c r="D31" i="4" a="1"/>
  <c r="D31" i="4" s="1"/>
  <c r="D20" i="4" a="1"/>
  <c r="D20" i="4" s="1"/>
  <c r="D39" i="4" a="1"/>
  <c r="D39" i="4" s="1"/>
  <c r="D15" i="4" a="1"/>
  <c r="D15" i="4" s="1"/>
  <c r="D28" i="4" a="1"/>
  <c r="D28" i="4" s="1"/>
  <c r="D32" i="4" a="1"/>
  <c r="D32" i="4" s="1"/>
  <c r="D36" i="4" a="1"/>
  <c r="D36" i="4" s="1"/>
  <c r="D16" i="4" a="1"/>
  <c r="D16" i="4" s="1"/>
  <c r="D38" i="4" a="1"/>
  <c r="D38" i="4" s="1"/>
  <c r="D24" i="4" a="1"/>
  <c r="D24" i="4" s="1"/>
  <c r="D33" i="11"/>
  <c r="M18" i="12" s="1"/>
  <c r="Q38" i="10"/>
  <c r="L40" i="10"/>
  <c r="Q39" i="10"/>
  <c r="L39" i="10"/>
  <c r="Q40" i="10"/>
  <c r="Q41" i="10"/>
  <c r="M38" i="10"/>
  <c r="Q42" i="10"/>
  <c r="M39" i="10"/>
  <c r="L41" i="10"/>
  <c r="M40" i="10"/>
  <c r="L42" i="10"/>
  <c r="M41" i="10"/>
  <c r="L38" i="10"/>
  <c r="M42" i="10"/>
  <c r="F32" i="10" a="1"/>
  <c r="F32" i="10" s="1"/>
  <c r="F41" i="10" a="1"/>
  <c r="F41" i="10" s="1"/>
  <c r="F29" i="10" a="1"/>
  <c r="F29" i="10" s="1"/>
  <c r="F15" i="10" a="1"/>
  <c r="F15" i="10" s="1"/>
  <c r="F24" i="10" a="1"/>
  <c r="F24" i="10" s="1"/>
  <c r="E15" i="10" a="1"/>
  <c r="E15" i="10" s="1"/>
  <c r="E7" i="10" a="1"/>
  <c r="E7" i="10" s="1"/>
  <c r="E40" i="10" a="1"/>
  <c r="E40" i="10" s="1"/>
  <c r="E32" i="10" a="1"/>
  <c r="E32" i="10" s="1"/>
  <c r="D39" i="10" a="1"/>
  <c r="D39" i="10" s="1"/>
  <c r="D41" i="10" a="1"/>
  <c r="D41" i="10" s="1"/>
  <c r="D25" i="10" a="1"/>
  <c r="D25" i="10" s="1"/>
  <c r="D28" i="10" a="1"/>
  <c r="D28" i="10" s="1"/>
  <c r="E14" i="10" a="1"/>
  <c r="E14" i="10" s="1"/>
  <c r="D29" i="10" a="1"/>
  <c r="D29" i="10" s="1"/>
  <c r="F7" i="10" a="1"/>
  <c r="F7" i="10" s="1"/>
  <c r="E12" i="10" a="1"/>
  <c r="E12" i="10" s="1"/>
  <c r="D11" i="10" a="1"/>
  <c r="D11" i="10" s="1"/>
  <c r="F31" i="10" a="1"/>
  <c r="F31" i="10" s="1"/>
  <c r="F19" i="10" a="1"/>
  <c r="F19" i="10" s="1"/>
  <c r="E21" i="10" a="1"/>
  <c r="E21" i="10" s="1"/>
  <c r="D37" i="10" a="1"/>
  <c r="D37" i="10" s="1"/>
  <c r="D8" i="10" a="1"/>
  <c r="D8" i="10" s="1"/>
  <c r="F40" i="10" a="1"/>
  <c r="F40" i="10" s="1"/>
  <c r="F13" i="10" a="1"/>
  <c r="F13" i="10" s="1"/>
  <c r="E30" i="10" a="1"/>
  <c r="E30" i="10" s="1"/>
  <c r="E18" i="10" a="1"/>
  <c r="E18" i="10" s="1"/>
  <c r="D7" i="10" a="1"/>
  <c r="D7" i="10" s="1"/>
  <c r="D33" i="10" a="1"/>
  <c r="D33" i="10" s="1"/>
  <c r="F11" i="10" a="1"/>
  <c r="F11" i="10" s="1"/>
  <c r="F25" i="10" a="1"/>
  <c r="F25" i="10" s="1"/>
  <c r="F6" i="10" a="1"/>
  <c r="F6" i="10" s="1"/>
  <c r="F9" i="10" a="1"/>
  <c r="F9" i="10" s="1"/>
  <c r="E24" i="10" a="1"/>
  <c r="E24" i="10" s="1"/>
  <c r="E16" i="10" a="1"/>
  <c r="E16" i="10" s="1"/>
  <c r="E8" i="10" a="1"/>
  <c r="E8" i="10" s="1"/>
  <c r="E41" i="10" a="1"/>
  <c r="E41" i="10" s="1"/>
  <c r="D5" i="10" a="1"/>
  <c r="D5" i="10" s="1"/>
  <c r="D14" i="10" a="1"/>
  <c r="D14" i="10" s="1"/>
  <c r="D10" i="10" a="1"/>
  <c r="D10" i="10" s="1"/>
  <c r="D32" i="10" a="1"/>
  <c r="D32" i="10" s="1"/>
  <c r="D16" i="10" a="1"/>
  <c r="D16" i="10" s="1"/>
  <c r="E35" i="10" a="1"/>
  <c r="E35" i="10" s="1"/>
  <c r="D18" i="10" a="1"/>
  <c r="D18" i="10" s="1"/>
  <c r="D13" i="10" a="1"/>
  <c r="D13" i="10" s="1"/>
  <c r="F39" i="10" a="1"/>
  <c r="F39" i="10" s="1"/>
  <c r="E19" i="10" a="1"/>
  <c r="E19" i="10" s="1"/>
  <c r="E23" i="10" a="1"/>
  <c r="E23" i="10" s="1"/>
  <c r="D20" i="10" a="1"/>
  <c r="D20" i="10" s="1"/>
  <c r="F10" i="10" a="1"/>
  <c r="F10" i="10" s="1"/>
  <c r="E33" i="10" a="1"/>
  <c r="E33" i="10" s="1"/>
  <c r="E13" i="10" a="1"/>
  <c r="E13" i="10" s="1"/>
  <c r="D34" i="10" a="1"/>
  <c r="D34" i="10" s="1"/>
  <c r="F38" i="10" a="1"/>
  <c r="F38" i="10" s="1"/>
  <c r="F18" i="10" a="1"/>
  <c r="F18" i="10" s="1"/>
  <c r="F17" i="10" a="1"/>
  <c r="F17" i="10" s="1"/>
  <c r="F14" i="10" a="1"/>
  <c r="F14" i="10" s="1"/>
  <c r="E5" i="10" a="1"/>
  <c r="E5" i="10" s="1"/>
  <c r="E29" i="10" a="1"/>
  <c r="E29" i="10" s="1"/>
  <c r="E25" i="10" a="1"/>
  <c r="E25" i="10" s="1"/>
  <c r="E17" i="10" a="1"/>
  <c r="E17" i="10" s="1"/>
  <c r="E9" i="10" a="1"/>
  <c r="E9" i="10" s="1"/>
  <c r="D12" i="10" a="1"/>
  <c r="D12" i="10" s="1"/>
  <c r="D27" i="10" a="1"/>
  <c r="D27" i="10" s="1"/>
  <c r="D23" i="10" a="1"/>
  <c r="D23" i="10" s="1"/>
  <c r="D38" i="10" a="1"/>
  <c r="D38" i="10" s="1"/>
  <c r="D35" i="10" a="1"/>
  <c r="D35" i="10" s="1"/>
  <c r="F33" i="10" a="1"/>
  <c r="F33" i="10" s="1"/>
  <c r="F8" i="10" a="1"/>
  <c r="F8" i="10" s="1"/>
  <c r="F20" i="10" a="1"/>
  <c r="F20" i="10" s="1"/>
  <c r="F5" i="10" a="1"/>
  <c r="F5" i="10" s="1"/>
  <c r="E34" i="10" a="1"/>
  <c r="E34" i="10" s="1"/>
  <c r="E22" i="10" a="1"/>
  <c r="E22" i="10" s="1"/>
  <c r="D40" i="10" a="1"/>
  <c r="D40" i="10" s="1"/>
  <c r="F36" i="10" a="1"/>
  <c r="F36" i="10" s="1"/>
  <c r="F21" i="10" a="1"/>
  <c r="F21" i="10" s="1"/>
  <c r="E11" i="10" a="1"/>
  <c r="E11" i="10" s="1"/>
  <c r="D31" i="10" a="1"/>
  <c r="D31" i="10" s="1"/>
  <c r="D42" i="10" a="1"/>
  <c r="D42" i="10" s="1"/>
  <c r="F34" i="10" a="1"/>
  <c r="F34" i="10" s="1"/>
  <c r="F12" i="10" a="1"/>
  <c r="F12" i="10" s="1"/>
  <c r="E20" i="10" a="1"/>
  <c r="E20" i="10" s="1"/>
  <c r="E28" i="10" a="1"/>
  <c r="E28" i="10" s="1"/>
  <c r="D24" i="10" a="1"/>
  <c r="D24" i="10" s="1"/>
  <c r="F37" i="10" a="1"/>
  <c r="F37" i="10" s="1"/>
  <c r="F16" i="10" a="1"/>
  <c r="F16" i="10" s="1"/>
  <c r="E38" i="10" a="1"/>
  <c r="E38" i="10" s="1"/>
  <c r="E26" i="10" a="1"/>
  <c r="E26" i="10" s="1"/>
  <c r="E37" i="10" a="1"/>
  <c r="E37" i="10" s="1"/>
  <c r="D9" i="10" a="1"/>
  <c r="D9" i="10" s="1"/>
  <c r="D30" i="10" a="1"/>
  <c r="D30" i="10" s="1"/>
  <c r="F30" i="10" a="1"/>
  <c r="F30" i="10" s="1"/>
  <c r="E10" i="10" a="1"/>
  <c r="E10" i="10" s="1"/>
  <c r="D17" i="10" a="1"/>
  <c r="D17" i="10" s="1"/>
  <c r="F27" i="10" a="1"/>
  <c r="F27" i="10" s="1"/>
  <c r="D6" i="10" a="1"/>
  <c r="D6" i="10" s="1"/>
  <c r="F42" i="10" a="1"/>
  <c r="F42" i="10" s="1"/>
  <c r="F35" i="10" a="1"/>
  <c r="F35" i="10" s="1"/>
  <c r="F26" i="10" a="1"/>
  <c r="F26" i="10" s="1"/>
  <c r="F23" i="10" a="1"/>
  <c r="F23" i="10" s="1"/>
  <c r="F22" i="10" a="1"/>
  <c r="F22" i="10" s="1"/>
  <c r="E6" i="10" a="1"/>
  <c r="E6" i="10" s="1"/>
  <c r="E39" i="10" a="1"/>
  <c r="E39" i="10" s="1"/>
  <c r="E31" i="10" a="1"/>
  <c r="E31" i="10" s="1"/>
  <c r="E27" i="10" a="1"/>
  <c r="E27" i="10" s="1"/>
  <c r="E42" i="10" a="1"/>
  <c r="E42" i="10" s="1"/>
  <c r="D26" i="10" a="1"/>
  <c r="D26" i="10" s="1"/>
  <c r="D22" i="10" a="1"/>
  <c r="D22" i="10" s="1"/>
  <c r="D19" i="10" a="1"/>
  <c r="D19" i="10" s="1"/>
  <c r="D15" i="10" a="1"/>
  <c r="D15" i="10" s="1"/>
  <c r="D36" i="10" a="1"/>
  <c r="D36" i="10" s="1"/>
  <c r="F28" i="10" a="1"/>
  <c r="F28" i="10" s="1"/>
  <c r="E36" i="10" a="1"/>
  <c r="E36" i="10" s="1"/>
  <c r="D21" i="10" a="1"/>
  <c r="D21" i="10" s="1"/>
  <c r="B51" i="1"/>
  <c r="D51" i="1" s="1"/>
  <c r="D60" i="7"/>
  <c r="D53" i="7"/>
  <c r="P40" i="10"/>
  <c r="O42" i="10"/>
  <c r="P38" i="10"/>
  <c r="O41" i="10"/>
  <c r="O39" i="10"/>
  <c r="O40" i="10"/>
  <c r="N42" i="10"/>
  <c r="P42" i="10"/>
  <c r="N40" i="10"/>
  <c r="N41" i="10"/>
  <c r="N39" i="10"/>
  <c r="N38" i="10"/>
  <c r="P41" i="10"/>
  <c r="P39" i="10"/>
  <c r="O38" i="10"/>
  <c r="K39" i="12"/>
  <c r="J41" i="12"/>
  <c r="J38" i="12"/>
  <c r="J40" i="12"/>
  <c r="K42" i="12"/>
  <c r="K38" i="12"/>
  <c r="J42" i="12"/>
  <c r="K40" i="12"/>
  <c r="K41" i="12"/>
  <c r="J39" i="12"/>
  <c r="M4" i="4"/>
  <c r="G4" i="4"/>
  <c r="D57" i="1"/>
  <c r="E31" i="12"/>
  <c r="E38" i="12"/>
  <c r="E35" i="12"/>
  <c r="E34" i="12"/>
  <c r="E23" i="12"/>
  <c r="E30" i="12"/>
  <c r="E37" i="12"/>
  <c r="E27" i="12"/>
  <c r="E22" i="12"/>
  <c r="E26" i="12"/>
  <c r="E41" i="12"/>
  <c r="E40" i="12"/>
  <c r="E15" i="12"/>
  <c r="E21" i="12"/>
  <c r="E28" i="12"/>
  <c r="E24" i="12"/>
  <c r="E14" i="12"/>
  <c r="E29" i="12"/>
  <c r="E36" i="12"/>
  <c r="E19" i="12"/>
  <c r="E18" i="12"/>
  <c r="E33" i="12"/>
  <c r="E32" i="12"/>
  <c r="E20" i="12"/>
  <c r="E25" i="12"/>
  <c r="E17" i="12"/>
  <c r="E13" i="12"/>
  <c r="E16" i="12"/>
  <c r="E39" i="12"/>
  <c r="E42" i="12"/>
  <c r="G8" i="10"/>
  <c r="G9" i="10"/>
  <c r="G5" i="10"/>
  <c r="G6" i="10"/>
  <c r="G10" i="10"/>
  <c r="G11" i="10"/>
  <c r="G7" i="10"/>
  <c r="G12" i="10"/>
  <c r="H9" i="10"/>
  <c r="H12" i="10"/>
  <c r="H10" i="10"/>
  <c r="H6" i="10"/>
  <c r="H11" i="10"/>
  <c r="H7" i="10"/>
  <c r="H8" i="10"/>
  <c r="H5" i="10"/>
  <c r="G13" i="10"/>
  <c r="G36" i="10"/>
  <c r="G38" i="10"/>
  <c r="H38" i="10"/>
  <c r="H23" i="10"/>
  <c r="H24" i="10"/>
  <c r="H22" i="10"/>
  <c r="H13" i="10"/>
  <c r="G32" i="10"/>
  <c r="H26" i="10"/>
  <c r="H29" i="10"/>
  <c r="H20" i="10"/>
  <c r="G37" i="10"/>
  <c r="G17" i="10"/>
  <c r="H18" i="10"/>
  <c r="H34" i="10"/>
  <c r="H17" i="10"/>
  <c r="G16" i="10"/>
  <c r="G25" i="10"/>
  <c r="H37" i="10"/>
  <c r="H40" i="10"/>
  <c r="G21" i="10"/>
  <c r="G29" i="10"/>
  <c r="H21" i="10"/>
  <c r="H35" i="10"/>
  <c r="G41" i="10"/>
  <c r="H25" i="10"/>
  <c r="H33" i="10"/>
  <c r="H41" i="10"/>
  <c r="G15" i="10"/>
  <c r="G24" i="10"/>
  <c r="G33" i="10"/>
  <c r="H28" i="10"/>
  <c r="H32" i="10"/>
  <c r="H30" i="10"/>
  <c r="H42" i="10"/>
  <c r="G31" i="10"/>
  <c r="H31" i="10"/>
  <c r="H19" i="10"/>
  <c r="H14" i="10"/>
  <c r="H15" i="10"/>
  <c r="H36" i="10"/>
  <c r="G18" i="10"/>
  <c r="G26" i="10"/>
  <c r="G19" i="10"/>
  <c r="G14" i="10"/>
  <c r="G39" i="10"/>
  <c r="G40" i="10"/>
  <c r="G34" i="10"/>
  <c r="G27" i="10"/>
  <c r="G20" i="10"/>
  <c r="G22" i="10"/>
  <c r="G23" i="10"/>
  <c r="H16" i="10"/>
  <c r="H27" i="10"/>
  <c r="G42" i="10"/>
  <c r="G35" i="10"/>
  <c r="G28" i="10"/>
  <c r="G30" i="10"/>
  <c r="H39" i="10"/>
  <c r="C5" i="10"/>
  <c r="C5" i="12"/>
  <c r="C11" i="4"/>
  <c r="C42" i="4"/>
  <c r="C38" i="4"/>
  <c r="C34" i="4"/>
  <c r="C30" i="4"/>
  <c r="C26" i="4"/>
  <c r="C22" i="4"/>
  <c r="C18" i="4"/>
  <c r="C14" i="4"/>
  <c r="C41" i="4"/>
  <c r="C37" i="4"/>
  <c r="C33" i="4"/>
  <c r="C29" i="4"/>
  <c r="C25" i="4"/>
  <c r="C21" i="4"/>
  <c r="C17" i="4"/>
  <c r="C13" i="4"/>
  <c r="C40" i="4"/>
  <c r="C36" i="4"/>
  <c r="C32" i="4"/>
  <c r="C28" i="4"/>
  <c r="C24" i="4"/>
  <c r="C20" i="4"/>
  <c r="C16" i="4"/>
  <c r="C12" i="4"/>
  <c r="C39" i="4"/>
  <c r="C35" i="4"/>
  <c r="C31" i="4"/>
  <c r="C27" i="4"/>
  <c r="C23" i="4"/>
  <c r="C19" i="4"/>
  <c r="C15" i="4"/>
  <c r="C9" i="12"/>
  <c r="C7" i="12"/>
  <c r="C10" i="12"/>
  <c r="C8" i="12"/>
  <c r="C6" i="12"/>
  <c r="C7" i="10"/>
  <c r="C6" i="10"/>
  <c r="F39" i="4"/>
  <c r="F35" i="4"/>
  <c r="F31" i="4"/>
  <c r="F27" i="4"/>
  <c r="F23" i="4"/>
  <c r="F19" i="4"/>
  <c r="F15" i="4"/>
  <c r="F42" i="4"/>
  <c r="F38" i="4"/>
  <c r="F34" i="4"/>
  <c r="F30" i="4"/>
  <c r="F26" i="4"/>
  <c r="F22" i="4"/>
  <c r="F18" i="4"/>
  <c r="F14" i="4"/>
  <c r="F41" i="4"/>
  <c r="F37" i="4"/>
  <c r="F33" i="4"/>
  <c r="F29" i="4"/>
  <c r="F25" i="4"/>
  <c r="F21" i="4"/>
  <c r="F17" i="4"/>
  <c r="F13" i="4"/>
  <c r="F40" i="4"/>
  <c r="F36" i="4"/>
  <c r="F32" i="4"/>
  <c r="F28" i="4"/>
  <c r="F24" i="4"/>
  <c r="F20" i="4"/>
  <c r="F16" i="4"/>
  <c r="J38" i="10"/>
  <c r="J42" i="10"/>
  <c r="J39" i="10"/>
  <c r="J40" i="10"/>
  <c r="J41" i="10"/>
  <c r="H7" i="12"/>
  <c r="H5" i="12"/>
  <c r="H6" i="12"/>
  <c r="C5" i="4"/>
  <c r="C6" i="4"/>
  <c r="C7" i="4"/>
  <c r="C8" i="10"/>
  <c r="C9" i="10"/>
  <c r="C10" i="10"/>
  <c r="C8" i="4"/>
  <c r="C9" i="4"/>
  <c r="C10" i="4"/>
  <c r="H10" i="12"/>
  <c r="H8" i="12"/>
  <c r="H9" i="12"/>
  <c r="C33" i="12"/>
  <c r="C26" i="12"/>
  <c r="C31" i="12"/>
  <c r="C22" i="12"/>
  <c r="H42" i="12"/>
  <c r="I39" i="12"/>
  <c r="N39" i="12"/>
  <c r="C19" i="12"/>
  <c r="H39" i="12"/>
  <c r="F41" i="12"/>
  <c r="C35" i="12"/>
  <c r="H38" i="12"/>
  <c r="C20" i="12"/>
  <c r="C24" i="12"/>
  <c r="C41" i="12"/>
  <c r="C34" i="12"/>
  <c r="C32" i="12"/>
  <c r="C30" i="12"/>
  <c r="H41" i="12"/>
  <c r="I42" i="12"/>
  <c r="L41" i="12"/>
  <c r="C42" i="12"/>
  <c r="C38" i="12"/>
  <c r="N40" i="12"/>
  <c r="C12" i="12"/>
  <c r="L39" i="12"/>
  <c r="N41" i="12"/>
  <c r="C17" i="12"/>
  <c r="C16" i="12"/>
  <c r="C13" i="12"/>
  <c r="C40" i="12"/>
  <c r="L40" i="12"/>
  <c r="I38" i="12"/>
  <c r="F42" i="12"/>
  <c r="F38" i="12"/>
  <c r="F40" i="12"/>
  <c r="C27" i="12"/>
  <c r="H40" i="12"/>
  <c r="C28" i="12"/>
  <c r="C15" i="12"/>
  <c r="N42" i="12"/>
  <c r="C21" i="12"/>
  <c r="C36" i="12"/>
  <c r="I40" i="12"/>
  <c r="F39" i="12"/>
  <c r="C25" i="12"/>
  <c r="C18" i="12"/>
  <c r="C37" i="12"/>
  <c r="C14" i="12"/>
  <c r="L38" i="12"/>
  <c r="I41" i="12"/>
  <c r="C11" i="12"/>
  <c r="L42" i="12"/>
  <c r="C23" i="12"/>
  <c r="C39" i="12"/>
  <c r="C29" i="12"/>
  <c r="N38" i="12"/>
  <c r="M41" i="12"/>
  <c r="H13" i="12"/>
  <c r="H20" i="12"/>
  <c r="H35" i="12"/>
  <c r="H14" i="12"/>
  <c r="M40" i="12"/>
  <c r="H17" i="12"/>
  <c r="H18" i="12"/>
  <c r="M42" i="12"/>
  <c r="H19" i="12"/>
  <c r="H11" i="12"/>
  <c r="H22" i="12"/>
  <c r="H28" i="12"/>
  <c r="H27" i="12"/>
  <c r="M39" i="12"/>
  <c r="H23" i="12"/>
  <c r="H24" i="12"/>
  <c r="M36" i="12"/>
  <c r="H29" i="12"/>
  <c r="H12" i="12"/>
  <c r="H36" i="12"/>
  <c r="H21" i="12"/>
  <c r="H30" i="12"/>
  <c r="H16" i="12"/>
  <c r="H34" i="12"/>
  <c r="H37" i="12"/>
  <c r="H32" i="12"/>
  <c r="H26" i="12"/>
  <c r="H15" i="12"/>
  <c r="H25" i="12"/>
  <c r="H33" i="12"/>
  <c r="M38" i="12"/>
  <c r="H31" i="12"/>
  <c r="C41" i="10"/>
  <c r="C35" i="10"/>
  <c r="C28" i="10"/>
  <c r="C22" i="10"/>
  <c r="R39" i="10"/>
  <c r="S39" i="10"/>
  <c r="T39" i="10"/>
  <c r="T40" i="10"/>
  <c r="C19" i="10"/>
  <c r="C29" i="10"/>
  <c r="C36" i="10"/>
  <c r="C30" i="10"/>
  <c r="R40" i="10"/>
  <c r="T38" i="10"/>
  <c r="S41" i="10"/>
  <c r="C31" i="10"/>
  <c r="C16" i="10"/>
  <c r="C40" i="10"/>
  <c r="C38" i="10"/>
  <c r="T41" i="10"/>
  <c r="R38" i="10"/>
  <c r="C18" i="10"/>
  <c r="C27" i="10"/>
  <c r="C13" i="10"/>
  <c r="C15" i="10"/>
  <c r="R41" i="10"/>
  <c r="C26" i="10"/>
  <c r="C37" i="10"/>
  <c r="C21" i="10"/>
  <c r="C23" i="10"/>
  <c r="C17" i="10"/>
  <c r="C34" i="10"/>
  <c r="C24" i="10"/>
  <c r="C39" i="10"/>
  <c r="S40" i="10"/>
  <c r="T42" i="10"/>
  <c r="C25" i="10"/>
  <c r="C42" i="10"/>
  <c r="C12" i="10"/>
  <c r="C32" i="10"/>
  <c r="R42" i="10"/>
  <c r="C33" i="10"/>
  <c r="C11" i="10"/>
  <c r="C20" i="10"/>
  <c r="C14" i="10"/>
  <c r="S38" i="10"/>
  <c r="S42" i="10"/>
  <c r="D16" i="11"/>
  <c r="F5" i="12" s="1"/>
  <c r="E5" i="4"/>
  <c r="O5" i="4" s="1"/>
  <c r="B25" i="43" l="1"/>
  <c r="D25" i="43" s="1"/>
  <c r="B28" i="51"/>
  <c r="D28" i="51" s="1"/>
  <c r="G36" i="12"/>
  <c r="J36" i="12" s="1"/>
  <c r="M9" i="49"/>
  <c r="K5" i="43"/>
  <c r="O5" i="43" s="1"/>
  <c r="K11" i="37"/>
  <c r="K6" i="40" s="1"/>
  <c r="C9" i="49"/>
  <c r="E9" i="49"/>
  <c r="M27" i="12"/>
  <c r="M10" i="12"/>
  <c r="N10" i="12" s="1"/>
  <c r="M25" i="12"/>
  <c r="M15" i="12"/>
  <c r="N15" i="12" s="1"/>
  <c r="M11" i="12"/>
  <c r="N11" i="12" s="1"/>
  <c r="M9" i="12"/>
  <c r="N9" i="12" s="1"/>
  <c r="M8" i="12"/>
  <c r="M12" i="12"/>
  <c r="M7" i="12"/>
  <c r="M5" i="12"/>
  <c r="M6" i="12"/>
  <c r="N6" i="12" s="1"/>
  <c r="B22" i="37"/>
  <c r="D22" i="37" s="1"/>
  <c r="K5" i="4"/>
  <c r="H5" i="4"/>
  <c r="M26" i="12"/>
  <c r="M19" i="12"/>
  <c r="M28" i="12"/>
  <c r="N28" i="12" s="1"/>
  <c r="M20" i="12"/>
  <c r="M37" i="12"/>
  <c r="M17" i="12"/>
  <c r="N17" i="12" s="1"/>
  <c r="M30" i="12"/>
  <c r="M16" i="12"/>
  <c r="M32" i="12"/>
  <c r="N32" i="12" s="1"/>
  <c r="M23" i="12"/>
  <c r="N23" i="12" s="1"/>
  <c r="M24" i="12"/>
  <c r="M13" i="12"/>
  <c r="M35" i="12"/>
  <c r="M21" i="12"/>
  <c r="N21" i="12" s="1"/>
  <c r="M34" i="12"/>
  <c r="M31" i="12"/>
  <c r="M14" i="12"/>
  <c r="M22" i="12"/>
  <c r="M29" i="12"/>
  <c r="N29" i="12" s="1"/>
  <c r="M33" i="12"/>
  <c r="B20" i="1" a="1"/>
  <c r="B20" i="1" s="1"/>
  <c r="D20" i="1" s="1"/>
  <c r="I31" i="4" s="1"/>
  <c r="K26" i="12"/>
  <c r="B52" i="1"/>
  <c r="D52" i="1" s="1"/>
  <c r="G12" i="4" s="1"/>
  <c r="D55" i="7"/>
  <c r="D57" i="7" s="1"/>
  <c r="B40" i="7"/>
  <c r="D40" i="7" s="1"/>
  <c r="K16" i="12"/>
  <c r="K12" i="12"/>
  <c r="K8" i="12"/>
  <c r="K9" i="12"/>
  <c r="K10" i="12"/>
  <c r="K11" i="12"/>
  <c r="K5" i="12"/>
  <c r="K7" i="12"/>
  <c r="K6" i="12"/>
  <c r="K23" i="12"/>
  <c r="K25" i="12"/>
  <c r="K24" i="12"/>
  <c r="K20" i="12"/>
  <c r="K28" i="12"/>
  <c r="K14" i="12"/>
  <c r="K33" i="12"/>
  <c r="K32" i="12"/>
  <c r="K36" i="12"/>
  <c r="K34" i="12"/>
  <c r="K19" i="12"/>
  <c r="K35" i="12"/>
  <c r="K15" i="12"/>
  <c r="K13" i="12"/>
  <c r="K18" i="12"/>
  <c r="K37" i="12"/>
  <c r="K29" i="12"/>
  <c r="K31" i="12"/>
  <c r="K27" i="12"/>
  <c r="K17" i="12"/>
  <c r="K22" i="12"/>
  <c r="K30" i="12"/>
  <c r="K21" i="12"/>
  <c r="D56" i="7"/>
  <c r="D58" i="7" s="1"/>
  <c r="S6" i="10"/>
  <c r="L6" i="10" s="1"/>
  <c r="Q6" i="10" s="1"/>
  <c r="P4" i="4"/>
  <c r="F9" i="4"/>
  <c r="F10" i="4"/>
  <c r="E6" i="12"/>
  <c r="E11" i="12"/>
  <c r="E10" i="12"/>
  <c r="E9" i="12"/>
  <c r="E8" i="12"/>
  <c r="F8" i="4"/>
  <c r="F6" i="4"/>
  <c r="E5" i="12"/>
  <c r="E7" i="12"/>
  <c r="S34" i="10"/>
  <c r="T34" i="10" s="1"/>
  <c r="E12" i="12"/>
  <c r="F36" i="12"/>
  <c r="E4" i="12"/>
  <c r="S24" i="10"/>
  <c r="L24" i="10" s="1"/>
  <c r="Q24" i="10" s="1"/>
  <c r="S14" i="10"/>
  <c r="L14" i="10" s="1"/>
  <c r="Q14" i="10" s="1"/>
  <c r="S37" i="10"/>
  <c r="T37" i="10" s="1"/>
  <c r="S35" i="10"/>
  <c r="T35" i="10" s="1"/>
  <c r="S32" i="10"/>
  <c r="T32" i="10" s="1"/>
  <c r="S36" i="10"/>
  <c r="T36" i="10" s="1"/>
  <c r="S33" i="10"/>
  <c r="T33" i="10" s="1"/>
  <c r="S30" i="10"/>
  <c r="T30" i="10" s="1"/>
  <c r="S28" i="10"/>
  <c r="L28" i="10" s="1"/>
  <c r="Q28" i="10" s="1"/>
  <c r="S18" i="10"/>
  <c r="L18" i="10" s="1"/>
  <c r="Q18" i="10" s="1"/>
  <c r="S23" i="10"/>
  <c r="L23" i="10" s="1"/>
  <c r="Q23" i="10" s="1"/>
  <c r="S12" i="10"/>
  <c r="L12" i="10" s="1"/>
  <c r="Q12" i="10" s="1"/>
  <c r="S20" i="10"/>
  <c r="L20" i="10" s="1"/>
  <c r="Q20" i="10" s="1"/>
  <c r="B39" i="7"/>
  <c r="D39" i="7" s="1"/>
  <c r="I36" i="10" s="1"/>
  <c r="S26" i="10"/>
  <c r="L26" i="10" s="1"/>
  <c r="Q26" i="10" s="1"/>
  <c r="S11" i="10"/>
  <c r="L11" i="10" s="1"/>
  <c r="Q11" i="10" s="1"/>
  <c r="S15" i="10"/>
  <c r="L15" i="10" s="1"/>
  <c r="Q15" i="10" s="1"/>
  <c r="B24" i="11"/>
  <c r="D24" i="11" s="1"/>
  <c r="G18" i="12" s="1"/>
  <c r="J18" i="12" s="1"/>
  <c r="S21" i="10"/>
  <c r="L21" i="10" s="1"/>
  <c r="Q21" i="10" s="1"/>
  <c r="S29" i="10"/>
  <c r="L29" i="10" s="1"/>
  <c r="Q29" i="10" s="1"/>
  <c r="S19" i="10"/>
  <c r="L19" i="10" s="1"/>
  <c r="Q19" i="10" s="1"/>
  <c r="S13" i="10"/>
  <c r="L13" i="10" s="1"/>
  <c r="Q13" i="10" s="1"/>
  <c r="S27" i="10"/>
  <c r="L27" i="10" s="1"/>
  <c r="Q27" i="10" s="1"/>
  <c r="B42" i="7"/>
  <c r="D42" i="7" s="1"/>
  <c r="S5" i="10"/>
  <c r="L5" i="10" s="1"/>
  <c r="Q5" i="10" s="1"/>
  <c r="F7" i="4"/>
  <c r="S7" i="10"/>
  <c r="L7" i="10" s="1"/>
  <c r="Q7" i="10" s="1"/>
  <c r="N36" i="12"/>
  <c r="F37" i="12"/>
  <c r="F7" i="12"/>
  <c r="F6" i="12"/>
  <c r="S8" i="10"/>
  <c r="L8" i="10" s="1"/>
  <c r="Q8" i="10" s="1"/>
  <c r="S9" i="10"/>
  <c r="L9" i="10" s="1"/>
  <c r="Q9" i="10" s="1"/>
  <c r="S10" i="10"/>
  <c r="L10" i="10" s="1"/>
  <c r="Q10" i="10" s="1"/>
  <c r="S17" i="10"/>
  <c r="L17" i="10" s="1"/>
  <c r="Q17" i="10" s="1"/>
  <c r="S22" i="10"/>
  <c r="L22" i="10" s="1"/>
  <c r="Q22" i="10" s="1"/>
  <c r="S16" i="10"/>
  <c r="L16" i="10" s="1"/>
  <c r="Q16" i="10" s="1"/>
  <c r="S25" i="10"/>
  <c r="L25" i="10" s="1"/>
  <c r="Q25" i="10" s="1"/>
  <c r="F13" i="12"/>
  <c r="F10" i="12"/>
  <c r="F8" i="12"/>
  <c r="F9" i="12"/>
  <c r="F14" i="12"/>
  <c r="F22" i="12"/>
  <c r="F32" i="12"/>
  <c r="F11" i="12"/>
  <c r="F20" i="12"/>
  <c r="F35" i="12"/>
  <c r="F21" i="12"/>
  <c r="F18" i="12"/>
  <c r="F24" i="12"/>
  <c r="F27" i="12"/>
  <c r="F34" i="12"/>
  <c r="F19" i="12"/>
  <c r="F30" i="12"/>
  <c r="F16" i="12"/>
  <c r="F23" i="12"/>
  <c r="F15" i="12"/>
  <c r="F31" i="12"/>
  <c r="F29" i="12"/>
  <c r="F12" i="12"/>
  <c r="F28" i="12"/>
  <c r="F25" i="12"/>
  <c r="S31" i="10"/>
  <c r="T31" i="10" s="1"/>
  <c r="F26" i="12"/>
  <c r="F17" i="12"/>
  <c r="F33" i="12"/>
  <c r="N18" i="12"/>
  <c r="E6" i="4"/>
  <c r="F11" i="4" l="1"/>
  <c r="B25" i="51"/>
  <c r="I28" i="4"/>
  <c r="M28" i="4" s="1"/>
  <c r="I27" i="4"/>
  <c r="M27" i="4" s="1"/>
  <c r="I32" i="4"/>
  <c r="M32" i="4" s="1"/>
  <c r="I29" i="4"/>
  <c r="M29" i="4" s="1"/>
  <c r="I7" i="4"/>
  <c r="M7" i="4" s="1"/>
  <c r="I42" i="4"/>
  <c r="M42" i="4" s="1"/>
  <c r="I37" i="4"/>
  <c r="M37" i="4" s="1"/>
  <c r="I40" i="4"/>
  <c r="M40" i="4" s="1"/>
  <c r="I41" i="4"/>
  <c r="M41" i="4" s="1"/>
  <c r="I38" i="4"/>
  <c r="M38" i="4" s="1"/>
  <c r="I33" i="4"/>
  <c r="M33" i="4" s="1"/>
  <c r="I35" i="4"/>
  <c r="M35" i="4" s="1"/>
  <c r="I36" i="4"/>
  <c r="M36" i="4" s="1"/>
  <c r="I39" i="4"/>
  <c r="M39" i="4" s="1"/>
  <c r="I34" i="4"/>
  <c r="M34" i="4" s="1"/>
  <c r="I26" i="4"/>
  <c r="M26" i="4" s="1"/>
  <c r="I30" i="4"/>
  <c r="M30" i="4" s="1"/>
  <c r="B23" i="37"/>
  <c r="D23" i="37" s="1"/>
  <c r="D46" i="37" s="1"/>
  <c r="B24" i="43"/>
  <c r="I34" i="10"/>
  <c r="I32" i="10"/>
  <c r="I31" i="10"/>
  <c r="I33" i="10"/>
  <c r="I35" i="10"/>
  <c r="I30" i="10"/>
  <c r="I37" i="10"/>
  <c r="K34" i="10"/>
  <c r="P34" i="10" s="1"/>
  <c r="K31" i="10"/>
  <c r="P31" i="10" s="1"/>
  <c r="K32" i="10"/>
  <c r="P32" i="10" s="1"/>
  <c r="K37" i="10"/>
  <c r="P37" i="10" s="1"/>
  <c r="K30" i="10"/>
  <c r="P30" i="10" s="1"/>
  <c r="K35" i="10"/>
  <c r="P35" i="10" s="1"/>
  <c r="K36" i="10"/>
  <c r="P36" i="10" s="1"/>
  <c r="K33" i="10"/>
  <c r="P33" i="10" s="1"/>
  <c r="G34" i="12"/>
  <c r="J34" i="12" s="1"/>
  <c r="N30" i="12"/>
  <c r="G30" i="12"/>
  <c r="J30" i="12" s="1"/>
  <c r="G35" i="12"/>
  <c r="J35" i="12" s="1"/>
  <c r="G33" i="12"/>
  <c r="J33" i="12" s="1"/>
  <c r="G37" i="12"/>
  <c r="I37" i="12" s="1"/>
  <c r="L37" i="12" s="1"/>
  <c r="N31" i="12"/>
  <c r="G31" i="12"/>
  <c r="J31" i="12" s="1"/>
  <c r="G32" i="12"/>
  <c r="J32" i="12" s="1"/>
  <c r="B51" i="51" a="1"/>
  <c r="B51" i="51" s="1"/>
  <c r="D51" i="51" s="1"/>
  <c r="D47" i="37"/>
  <c r="I13" i="4"/>
  <c r="M13" i="4" s="1"/>
  <c r="I24" i="4"/>
  <c r="M24" i="4" s="1"/>
  <c r="I10" i="4"/>
  <c r="M10" i="4" s="1"/>
  <c r="I21" i="4"/>
  <c r="M21" i="4" s="1"/>
  <c r="I12" i="4"/>
  <c r="M12" i="4" s="1"/>
  <c r="I22" i="4"/>
  <c r="M22" i="4" s="1"/>
  <c r="I17" i="4"/>
  <c r="M17" i="4" s="1"/>
  <c r="I9" i="4"/>
  <c r="M9" i="4" s="1"/>
  <c r="I5" i="4"/>
  <c r="M5" i="4" s="1"/>
  <c r="I18" i="4"/>
  <c r="M18" i="4" s="1"/>
  <c r="I14" i="4"/>
  <c r="M14" i="4" s="1"/>
  <c r="I8" i="4"/>
  <c r="M8" i="4" s="1"/>
  <c r="I19" i="4"/>
  <c r="M19" i="4" s="1"/>
  <c r="I15" i="4"/>
  <c r="M15" i="4" s="1"/>
  <c r="I23" i="4"/>
  <c r="M23" i="4" s="1"/>
  <c r="I11" i="4"/>
  <c r="M11" i="4" s="1"/>
  <c r="I6" i="4"/>
  <c r="M6" i="4" s="1"/>
  <c r="I16" i="4"/>
  <c r="M16" i="4" s="1"/>
  <c r="I20" i="4"/>
  <c r="M20" i="4" s="1"/>
  <c r="I25" i="4"/>
  <c r="M25" i="4" s="1"/>
  <c r="G13" i="12"/>
  <c r="J13" i="12" s="1"/>
  <c r="G20" i="12"/>
  <c r="J20" i="12" s="1"/>
  <c r="G22" i="12"/>
  <c r="J22" i="12" s="1"/>
  <c r="G14" i="12"/>
  <c r="J14" i="12" s="1"/>
  <c r="G5" i="12"/>
  <c r="J5" i="12" s="1"/>
  <c r="G16" i="12"/>
  <c r="J16" i="12" s="1"/>
  <c r="G27" i="12"/>
  <c r="J27" i="12" s="1"/>
  <c r="G25" i="12"/>
  <c r="J25" i="12" s="1"/>
  <c r="G11" i="12"/>
  <c r="J11" i="12" s="1"/>
  <c r="G7" i="12"/>
  <c r="J7" i="12" s="1"/>
  <c r="G9" i="12"/>
  <c r="J9" i="12" s="1"/>
  <c r="G23" i="12"/>
  <c r="J23" i="12" s="1"/>
  <c r="G17" i="12"/>
  <c r="J17" i="12" s="1"/>
  <c r="G12" i="12"/>
  <c r="J12" i="12" s="1"/>
  <c r="G6" i="12"/>
  <c r="J6" i="12" s="1"/>
  <c r="G24" i="12"/>
  <c r="J24" i="12" s="1"/>
  <c r="G15" i="12"/>
  <c r="J15" i="12" s="1"/>
  <c r="G21" i="12"/>
  <c r="J21" i="12" s="1"/>
  <c r="G28" i="12"/>
  <c r="J28" i="12" s="1"/>
  <c r="G29" i="12"/>
  <c r="J29" i="12" s="1"/>
  <c r="G10" i="12"/>
  <c r="J10" i="12" s="1"/>
  <c r="G8" i="12"/>
  <c r="J8" i="12" s="1"/>
  <c r="G26" i="12"/>
  <c r="J26" i="12" s="1"/>
  <c r="G19" i="12"/>
  <c r="J19" i="12" s="1"/>
  <c r="K6" i="10"/>
  <c r="P6" i="10" s="1"/>
  <c r="K24" i="10"/>
  <c r="P24" i="10" s="1"/>
  <c r="K21" i="10"/>
  <c r="P21" i="10" s="1"/>
  <c r="K14" i="10"/>
  <c r="P14" i="10" s="1"/>
  <c r="K18" i="10"/>
  <c r="P18" i="10" s="1"/>
  <c r="K11" i="10"/>
  <c r="P11" i="10" s="1"/>
  <c r="K22" i="10"/>
  <c r="P22" i="10" s="1"/>
  <c r="K16" i="10"/>
  <c r="P16" i="10" s="1"/>
  <c r="K26" i="10"/>
  <c r="P26" i="10" s="1"/>
  <c r="K19" i="10"/>
  <c r="P19" i="10" s="1"/>
  <c r="K27" i="10"/>
  <c r="P27" i="10" s="1"/>
  <c r="K28" i="10"/>
  <c r="P28" i="10" s="1"/>
  <c r="K8" i="10"/>
  <c r="P8" i="10" s="1"/>
  <c r="K12" i="10"/>
  <c r="P12" i="10" s="1"/>
  <c r="K20" i="10"/>
  <c r="P20" i="10" s="1"/>
  <c r="K13" i="10"/>
  <c r="P13" i="10" s="1"/>
  <c r="K23" i="10"/>
  <c r="P23" i="10" s="1"/>
  <c r="K7" i="10"/>
  <c r="P7" i="10" s="1"/>
  <c r="K9" i="10"/>
  <c r="P9" i="10" s="1"/>
  <c r="K5" i="10"/>
  <c r="P5" i="10" s="1"/>
  <c r="K15" i="10"/>
  <c r="P15" i="10" s="1"/>
  <c r="K17" i="10"/>
  <c r="P17" i="10" s="1"/>
  <c r="K29" i="10"/>
  <c r="P29" i="10" s="1"/>
  <c r="K10" i="10"/>
  <c r="P10" i="10" s="1"/>
  <c r="K25" i="10"/>
  <c r="P25" i="10" s="1"/>
  <c r="I5" i="10"/>
  <c r="N5" i="10" s="1"/>
  <c r="I19" i="10"/>
  <c r="I15" i="10"/>
  <c r="I29" i="10"/>
  <c r="I27" i="10"/>
  <c r="I12" i="10"/>
  <c r="I13" i="10"/>
  <c r="I8" i="10"/>
  <c r="I20" i="10"/>
  <c r="I21" i="10"/>
  <c r="I6" i="10"/>
  <c r="I14" i="10"/>
  <c r="I24" i="10"/>
  <c r="I28" i="10"/>
  <c r="I22" i="10"/>
  <c r="I16" i="10"/>
  <c r="I7" i="10"/>
  <c r="I9" i="10"/>
  <c r="I23" i="10"/>
  <c r="I26" i="10"/>
  <c r="I17" i="10"/>
  <c r="I10" i="10"/>
  <c r="I25" i="10"/>
  <c r="I18" i="10"/>
  <c r="I11" i="10"/>
  <c r="N25" i="12"/>
  <c r="N27" i="12"/>
  <c r="N8" i="12"/>
  <c r="N12" i="12"/>
  <c r="N5" i="12"/>
  <c r="N7" i="12"/>
  <c r="B42" i="37"/>
  <c r="D42" i="37" s="1"/>
  <c r="E9" i="39" s="1"/>
  <c r="N26" i="12"/>
  <c r="N14" i="12"/>
  <c r="N24" i="12"/>
  <c r="N19" i="12"/>
  <c r="O6" i="4"/>
  <c r="K6" i="4" s="1"/>
  <c r="H6" i="4"/>
  <c r="N13" i="12"/>
  <c r="N20" i="12"/>
  <c r="N22" i="12"/>
  <c r="N35" i="12"/>
  <c r="N37" i="12"/>
  <c r="N16" i="12"/>
  <c r="N33" i="12"/>
  <c r="N34" i="12"/>
  <c r="M31" i="4"/>
  <c r="I18" i="12"/>
  <c r="L18" i="12" s="1"/>
  <c r="I36" i="12"/>
  <c r="L36" i="12" s="1"/>
  <c r="I4" i="12"/>
  <c r="L4" i="12" s="1"/>
  <c r="L35" i="10"/>
  <c r="Q35" i="10" s="1"/>
  <c r="L32" i="10"/>
  <c r="Q32" i="10" s="1"/>
  <c r="L33" i="10"/>
  <c r="Q33" i="10" s="1"/>
  <c r="L30" i="10"/>
  <c r="Q30" i="10" s="1"/>
  <c r="L31" i="10"/>
  <c r="Q31" i="10" s="1"/>
  <c r="L37" i="10"/>
  <c r="Q37" i="10" s="1"/>
  <c r="L36" i="10"/>
  <c r="Q36" i="10" s="1"/>
  <c r="L34" i="10"/>
  <c r="Q34" i="10" s="1"/>
  <c r="T11" i="10"/>
  <c r="T14" i="10"/>
  <c r="T25" i="10"/>
  <c r="T5" i="10"/>
  <c r="T27" i="10"/>
  <c r="T26" i="10"/>
  <c r="T28" i="10"/>
  <c r="T24" i="10"/>
  <c r="T16" i="10"/>
  <c r="T13" i="10"/>
  <c r="T6" i="10"/>
  <c r="T22" i="10"/>
  <c r="T19" i="10"/>
  <c r="T20" i="10"/>
  <c r="T17" i="10"/>
  <c r="T29" i="10"/>
  <c r="T12" i="10"/>
  <c r="T10" i="10"/>
  <c r="T7" i="10"/>
  <c r="T21" i="10"/>
  <c r="T23" i="10"/>
  <c r="T9" i="10"/>
  <c r="T18" i="10"/>
  <c r="T8" i="10"/>
  <c r="T15" i="10"/>
  <c r="J5" i="10"/>
  <c r="O5" i="10" s="1"/>
  <c r="G6" i="4"/>
  <c r="G10" i="4"/>
  <c r="G5" i="4"/>
  <c r="F4" i="4"/>
  <c r="L4" i="4" s="1"/>
  <c r="N4" i="4" s="1"/>
  <c r="G9" i="4"/>
  <c r="G8" i="4"/>
  <c r="G7" i="4"/>
  <c r="G11" i="4"/>
  <c r="F5" i="4"/>
  <c r="G22" i="4"/>
  <c r="G38" i="4"/>
  <c r="G23" i="4"/>
  <c r="G39" i="4"/>
  <c r="G40" i="4"/>
  <c r="G41" i="4"/>
  <c r="G42" i="4"/>
  <c r="F12" i="4"/>
  <c r="G29" i="4"/>
  <c r="G15" i="4"/>
  <c r="G32" i="4"/>
  <c r="G18" i="4"/>
  <c r="G35" i="4"/>
  <c r="G24" i="4"/>
  <c r="G25" i="4"/>
  <c r="G28" i="4"/>
  <c r="G30" i="4"/>
  <c r="G16" i="4"/>
  <c r="G33" i="4"/>
  <c r="G19" i="4"/>
  <c r="G37" i="4"/>
  <c r="G26" i="4"/>
  <c r="G27" i="4"/>
  <c r="G13" i="4"/>
  <c r="G14" i="4"/>
  <c r="G31" i="4"/>
  <c r="G17" i="4"/>
  <c r="G34" i="4"/>
  <c r="G20" i="4"/>
  <c r="G36" i="4"/>
  <c r="G21" i="4"/>
  <c r="J6" i="10"/>
  <c r="O6" i="10" s="1"/>
  <c r="J5" i="4"/>
  <c r="J7" i="10"/>
  <c r="O7" i="10" s="1"/>
  <c r="E7" i="4"/>
  <c r="J36" i="10"/>
  <c r="O36" i="10" s="1"/>
  <c r="J37" i="10"/>
  <c r="O37" i="10" s="1"/>
  <c r="J33" i="10"/>
  <c r="O33" i="10" s="1"/>
  <c r="J35" i="10"/>
  <c r="O35" i="10" s="1"/>
  <c r="J34" i="10"/>
  <c r="O34" i="10" s="1"/>
  <c r="J11" i="10"/>
  <c r="O11" i="10" s="1"/>
  <c r="J19" i="10"/>
  <c r="O19" i="10" s="1"/>
  <c r="J27" i="10"/>
  <c r="O27" i="10" s="1"/>
  <c r="J15" i="10"/>
  <c r="O15" i="10" s="1"/>
  <c r="J24" i="10"/>
  <c r="O24" i="10" s="1"/>
  <c r="J26" i="10"/>
  <c r="O26" i="10" s="1"/>
  <c r="J12" i="10"/>
  <c r="O12" i="10" s="1"/>
  <c r="J20" i="10"/>
  <c r="O20" i="10" s="1"/>
  <c r="J28" i="10"/>
  <c r="O28" i="10" s="1"/>
  <c r="J14" i="10"/>
  <c r="O14" i="10" s="1"/>
  <c r="J22" i="10"/>
  <c r="O22" i="10" s="1"/>
  <c r="J30" i="10"/>
  <c r="O30" i="10" s="1"/>
  <c r="J31" i="10"/>
  <c r="O31" i="10" s="1"/>
  <c r="J16" i="10"/>
  <c r="O16" i="10" s="1"/>
  <c r="J13" i="10"/>
  <c r="O13" i="10" s="1"/>
  <c r="J21" i="10"/>
  <c r="O21" i="10" s="1"/>
  <c r="J29" i="10"/>
  <c r="O29" i="10" s="1"/>
  <c r="J23" i="10"/>
  <c r="O23" i="10" s="1"/>
  <c r="J8" i="10"/>
  <c r="O8" i="10" s="1"/>
  <c r="J32" i="10"/>
  <c r="O32" i="10" s="1"/>
  <c r="J9" i="10"/>
  <c r="O9" i="10" s="1"/>
  <c r="J17" i="10"/>
  <c r="O17" i="10" s="1"/>
  <c r="J25" i="10"/>
  <c r="O25" i="10" s="1"/>
  <c r="J10" i="10"/>
  <c r="O10" i="10" s="1"/>
  <c r="J18" i="10"/>
  <c r="O18" i="10" s="1"/>
  <c r="E11" i="39" l="1"/>
  <c r="E10" i="39"/>
  <c r="D24" i="43"/>
  <c r="B27" i="43" s="1"/>
  <c r="D27" i="43" s="1"/>
  <c r="B26" i="43" s="1"/>
  <c r="D26" i="43" s="1"/>
  <c r="B23" i="43" s="1"/>
  <c r="I33" i="12"/>
  <c r="L33" i="12" s="1"/>
  <c r="I34" i="12"/>
  <c r="L34" i="12" s="1"/>
  <c r="J37" i="12"/>
  <c r="D38" i="11" s="1"/>
  <c r="I35" i="12"/>
  <c r="L35" i="12" s="1"/>
  <c r="I8" i="12"/>
  <c r="L8" i="12" s="1"/>
  <c r="I5" i="12"/>
  <c r="L5" i="12" s="1"/>
  <c r="I16" i="12"/>
  <c r="L16" i="12" s="1"/>
  <c r="I25" i="12"/>
  <c r="L25" i="12" s="1"/>
  <c r="I10" i="12"/>
  <c r="L10" i="12" s="1"/>
  <c r="I12" i="12"/>
  <c r="L12" i="12" s="1"/>
  <c r="I26" i="12"/>
  <c r="L26" i="12" s="1"/>
  <c r="I24" i="12"/>
  <c r="L24" i="12" s="1"/>
  <c r="I19" i="12"/>
  <c r="L19" i="12" s="1"/>
  <c r="I14" i="12"/>
  <c r="L14" i="12" s="1"/>
  <c r="I27" i="12"/>
  <c r="L27" i="12" s="1"/>
  <c r="I13" i="12"/>
  <c r="L13" i="12" s="1"/>
  <c r="I7" i="12"/>
  <c r="L7" i="12" s="1"/>
  <c r="I22" i="12"/>
  <c r="L22" i="12" s="1"/>
  <c r="I20" i="12"/>
  <c r="L20" i="12" s="1"/>
  <c r="I11" i="12"/>
  <c r="L11" i="12" s="1"/>
  <c r="I15" i="12"/>
  <c r="L15" i="12" s="1"/>
  <c r="I9" i="12"/>
  <c r="L9" i="12" s="1"/>
  <c r="I6" i="12"/>
  <c r="L6" i="12" s="1"/>
  <c r="I30" i="12"/>
  <c r="L30" i="12" s="1"/>
  <c r="K29" i="39"/>
  <c r="L29" i="39" s="1"/>
  <c r="K31" i="39"/>
  <c r="L31" i="39" s="1"/>
  <c r="K30" i="39"/>
  <c r="L30" i="39" s="1"/>
  <c r="K26" i="39"/>
  <c r="L26" i="39" s="1"/>
  <c r="K27" i="39"/>
  <c r="L27" i="39" s="1"/>
  <c r="K25" i="39"/>
  <c r="L25" i="39" s="1"/>
  <c r="K28" i="39"/>
  <c r="L28" i="39" s="1"/>
  <c r="K32" i="39"/>
  <c r="L32" i="39" s="1"/>
  <c r="F32" i="39"/>
  <c r="F27" i="39"/>
  <c r="E12" i="39"/>
  <c r="F28" i="39"/>
  <c r="F31" i="39"/>
  <c r="F26" i="39"/>
  <c r="F25" i="39"/>
  <c r="F30" i="39"/>
  <c r="F29" i="39"/>
  <c r="G26" i="39"/>
  <c r="I26" i="39" s="1"/>
  <c r="G32" i="39"/>
  <c r="I32" i="39" s="1"/>
  <c r="G29" i="39"/>
  <c r="I29" i="39" s="1"/>
  <c r="G28" i="39"/>
  <c r="I28" i="39" s="1"/>
  <c r="G27" i="39"/>
  <c r="I27" i="39" s="1"/>
  <c r="G31" i="39"/>
  <c r="I31" i="39" s="1"/>
  <c r="G25" i="39"/>
  <c r="I25" i="39" s="1"/>
  <c r="G30" i="39"/>
  <c r="I30" i="39" s="1"/>
  <c r="K13" i="39"/>
  <c r="L13" i="39" s="1"/>
  <c r="K24" i="39"/>
  <c r="L24" i="39" s="1"/>
  <c r="K12" i="39"/>
  <c r="L12" i="39" s="1"/>
  <c r="K21" i="39"/>
  <c r="L21" i="39" s="1"/>
  <c r="K7" i="39"/>
  <c r="L7" i="39" s="1"/>
  <c r="K10" i="39"/>
  <c r="L10" i="39" s="1"/>
  <c r="K15" i="39"/>
  <c r="L15" i="39" s="1"/>
  <c r="K5" i="39"/>
  <c r="L5" i="39" s="1"/>
  <c r="B21" i="40"/>
  <c r="D21" i="40" s="1"/>
  <c r="K22" i="39"/>
  <c r="L22" i="39" s="1"/>
  <c r="K8" i="39"/>
  <c r="L8" i="39" s="1"/>
  <c r="K20" i="39"/>
  <c r="L20" i="39" s="1"/>
  <c r="K19" i="39"/>
  <c r="L19" i="39" s="1"/>
  <c r="K17" i="39"/>
  <c r="L17" i="39" s="1"/>
  <c r="K16" i="39"/>
  <c r="L16" i="39" s="1"/>
  <c r="K23" i="39"/>
  <c r="L23" i="39" s="1"/>
  <c r="K11" i="39"/>
  <c r="L11" i="39" s="1"/>
  <c r="K14" i="39"/>
  <c r="L14" i="39" s="1"/>
  <c r="K18" i="39"/>
  <c r="L18" i="39" s="1"/>
  <c r="K9" i="39"/>
  <c r="L9" i="39" s="1"/>
  <c r="K6" i="39"/>
  <c r="L6" i="39" s="1"/>
  <c r="F8" i="39"/>
  <c r="F22" i="39"/>
  <c r="F14" i="39"/>
  <c r="F16" i="39"/>
  <c r="F12" i="39"/>
  <c r="F5" i="39"/>
  <c r="F9" i="39"/>
  <c r="F24" i="39"/>
  <c r="F11" i="39"/>
  <c r="F23" i="39"/>
  <c r="F19" i="39"/>
  <c r="F20" i="39"/>
  <c r="F18" i="39"/>
  <c r="E4" i="39"/>
  <c r="H4" i="39" s="1"/>
  <c r="J4" i="39" s="1"/>
  <c r="F17" i="39"/>
  <c r="F7" i="39"/>
  <c r="F6" i="39"/>
  <c r="F10" i="39"/>
  <c r="F15" i="39"/>
  <c r="F21" i="39"/>
  <c r="F13" i="39"/>
  <c r="G7" i="39"/>
  <c r="I7" i="39" s="1"/>
  <c r="G12" i="39"/>
  <c r="I12" i="39" s="1"/>
  <c r="G5" i="39"/>
  <c r="I5" i="39" s="1"/>
  <c r="G18" i="39"/>
  <c r="I18" i="39" s="1"/>
  <c r="G19" i="39"/>
  <c r="I19" i="39" s="1"/>
  <c r="G23" i="39"/>
  <c r="I23" i="39" s="1"/>
  <c r="G9" i="39"/>
  <c r="I9" i="39" s="1"/>
  <c r="G10" i="39"/>
  <c r="I10" i="39" s="1"/>
  <c r="G24" i="39"/>
  <c r="I24" i="39" s="1"/>
  <c r="G13" i="39"/>
  <c r="I13" i="39" s="1"/>
  <c r="G22" i="39"/>
  <c r="I22" i="39" s="1"/>
  <c r="G6" i="39"/>
  <c r="I6" i="39" s="1"/>
  <c r="G14" i="39"/>
  <c r="I14" i="39" s="1"/>
  <c r="G20" i="39"/>
  <c r="I20" i="39" s="1"/>
  <c r="G17" i="39"/>
  <c r="I17" i="39" s="1"/>
  <c r="G21" i="39"/>
  <c r="I21" i="39" s="1"/>
  <c r="G11" i="39"/>
  <c r="I11" i="39" s="1"/>
  <c r="G15" i="39"/>
  <c r="I15" i="39" s="1"/>
  <c r="G8" i="39"/>
  <c r="I8" i="39" s="1"/>
  <c r="G16" i="39"/>
  <c r="I16" i="39" s="1"/>
  <c r="I32" i="12"/>
  <c r="L32" i="12" s="1"/>
  <c r="I21" i="12"/>
  <c r="L21" i="12" s="1"/>
  <c r="I17" i="12"/>
  <c r="L17" i="12" s="1"/>
  <c r="I23" i="12"/>
  <c r="L23" i="12" s="1"/>
  <c r="I29" i="12"/>
  <c r="L29" i="12" s="1"/>
  <c r="J6" i="4"/>
  <c r="L6" i="4" s="1"/>
  <c r="D39" i="11"/>
  <c r="H7" i="4"/>
  <c r="O7" i="4"/>
  <c r="K7" i="4" s="1"/>
  <c r="I28" i="12"/>
  <c r="L28" i="12" s="1"/>
  <c r="I31" i="12"/>
  <c r="L31" i="12" s="1"/>
  <c r="N31" i="10"/>
  <c r="M31" i="10"/>
  <c r="R31" i="10" s="1"/>
  <c r="N32" i="10"/>
  <c r="M32" i="10"/>
  <c r="R32" i="10" s="1"/>
  <c r="N36" i="10"/>
  <c r="M36" i="10"/>
  <c r="R36" i="10" s="1"/>
  <c r="N35" i="10"/>
  <c r="M35" i="10"/>
  <c r="R35" i="10" s="1"/>
  <c r="N30" i="10"/>
  <c r="M30" i="10"/>
  <c r="R30" i="10" s="1"/>
  <c r="N34" i="10"/>
  <c r="M34" i="10"/>
  <c r="R34" i="10" s="1"/>
  <c r="N37" i="10"/>
  <c r="M37" i="10"/>
  <c r="R37" i="10" s="1"/>
  <c r="N33" i="10"/>
  <c r="M33" i="10"/>
  <c r="R33" i="10" s="1"/>
  <c r="M13" i="10"/>
  <c r="R13" i="10" s="1"/>
  <c r="M28" i="10"/>
  <c r="R28" i="10" s="1"/>
  <c r="M26" i="10"/>
  <c r="R26" i="10" s="1"/>
  <c r="M25" i="10"/>
  <c r="R25" i="10" s="1"/>
  <c r="M16" i="10"/>
  <c r="R16" i="10" s="1"/>
  <c r="M15" i="10"/>
  <c r="R15" i="10" s="1"/>
  <c r="M20" i="10"/>
  <c r="R20" i="10" s="1"/>
  <c r="M12" i="10"/>
  <c r="R12" i="10" s="1"/>
  <c r="M8" i="10"/>
  <c r="R8" i="10" s="1"/>
  <c r="M6" i="10"/>
  <c r="R6" i="10" s="1"/>
  <c r="M24" i="10"/>
  <c r="R24" i="10" s="1"/>
  <c r="M14" i="10"/>
  <c r="R14" i="10" s="1"/>
  <c r="M22" i="10"/>
  <c r="R22" i="10" s="1"/>
  <c r="M21" i="10"/>
  <c r="R21" i="10" s="1"/>
  <c r="M9" i="10"/>
  <c r="M19" i="10"/>
  <c r="R19" i="10" s="1"/>
  <c r="M11" i="10"/>
  <c r="R11" i="10" s="1"/>
  <c r="M23" i="10"/>
  <c r="R23" i="10" s="1"/>
  <c r="M18" i="10"/>
  <c r="R18" i="10" s="1"/>
  <c r="M7" i="10"/>
  <c r="R7" i="10" s="1"/>
  <c r="M27" i="10"/>
  <c r="R27" i="10" s="1"/>
  <c r="M17" i="10"/>
  <c r="R17" i="10" s="1"/>
  <c r="M29" i="10"/>
  <c r="R29" i="10" s="1"/>
  <c r="M10" i="10"/>
  <c r="R10" i="10" s="1"/>
  <c r="M5" i="10"/>
  <c r="R5" i="10" s="1"/>
  <c r="N13" i="10"/>
  <c r="N28" i="10"/>
  <c r="N8" i="10"/>
  <c r="N26" i="10"/>
  <c r="N7" i="10"/>
  <c r="N20" i="10"/>
  <c r="N25" i="10"/>
  <c r="N6" i="10"/>
  <c r="N24" i="10"/>
  <c r="N16" i="10"/>
  <c r="N15" i="10"/>
  <c r="N12" i="10"/>
  <c r="N14" i="10"/>
  <c r="N22" i="10"/>
  <c r="N21" i="10"/>
  <c r="N9" i="10"/>
  <c r="N19" i="10"/>
  <c r="N27" i="10"/>
  <c r="N11" i="10"/>
  <c r="N23" i="10"/>
  <c r="N18" i="10"/>
  <c r="N17" i="10"/>
  <c r="N29" i="10"/>
  <c r="N10" i="10"/>
  <c r="D67" i="7"/>
  <c r="H65" i="8" s="1"/>
  <c r="D66" i="7"/>
  <c r="L5" i="4"/>
  <c r="N5" i="4" s="1"/>
  <c r="E8" i="4"/>
  <c r="D23" i="43" l="1"/>
  <c r="B23" i="53" s="1"/>
  <c r="H121" i="8"/>
  <c r="H64" i="8"/>
  <c r="H26" i="39"/>
  <c r="J26" i="39" s="1"/>
  <c r="H30" i="39"/>
  <c r="J30" i="39" s="1"/>
  <c r="H31" i="39"/>
  <c r="J31" i="39" s="1"/>
  <c r="H25" i="39"/>
  <c r="J25" i="39" s="1"/>
  <c r="H28" i="39"/>
  <c r="J28" i="39" s="1"/>
  <c r="H27" i="39"/>
  <c r="J27" i="39" s="1"/>
  <c r="H29" i="39"/>
  <c r="J29" i="39" s="1"/>
  <c r="H32" i="39"/>
  <c r="J32" i="39" s="1"/>
  <c r="H17" i="39"/>
  <c r="J17" i="39" s="1"/>
  <c r="H9" i="39"/>
  <c r="J9" i="39" s="1"/>
  <c r="H7" i="39"/>
  <c r="J7" i="39" s="1"/>
  <c r="H24" i="39"/>
  <c r="J24" i="39" s="1"/>
  <c r="H11" i="39"/>
  <c r="J11" i="39" s="1"/>
  <c r="H8" i="39"/>
  <c r="J8" i="39" s="1"/>
  <c r="H10" i="39"/>
  <c r="J10" i="39" s="1"/>
  <c r="H15" i="39"/>
  <c r="J15" i="39" s="1"/>
  <c r="H19" i="39"/>
  <c r="J19" i="39" s="1"/>
  <c r="H14" i="39"/>
  <c r="J14" i="39" s="1"/>
  <c r="H22" i="39"/>
  <c r="J22" i="39" s="1"/>
  <c r="H6" i="39"/>
  <c r="J6" i="39" s="1"/>
  <c r="D52" i="37"/>
  <c r="H23" i="39"/>
  <c r="J23" i="39" s="1"/>
  <c r="H5" i="39"/>
  <c r="J5" i="39" s="1"/>
  <c r="H13" i="39"/>
  <c r="J13" i="39" s="1"/>
  <c r="H18" i="39"/>
  <c r="J18" i="39" s="1"/>
  <c r="H12" i="39"/>
  <c r="J12" i="39" s="1"/>
  <c r="H21" i="39"/>
  <c r="J21" i="39" s="1"/>
  <c r="H20" i="39"/>
  <c r="J20" i="39" s="1"/>
  <c r="H16" i="39"/>
  <c r="J16" i="39" s="1"/>
  <c r="D34" i="40"/>
  <c r="B30" i="40"/>
  <c r="D30" i="40" s="1"/>
  <c r="E9" i="42" s="1"/>
  <c r="D35" i="40"/>
  <c r="D35" i="11"/>
  <c r="A5" i="11" s="1"/>
  <c r="J7" i="4"/>
  <c r="L7" i="4" s="1"/>
  <c r="H8" i="4"/>
  <c r="O8" i="4"/>
  <c r="K8" i="4" s="1"/>
  <c r="D65" i="7"/>
  <c r="E9" i="4"/>
  <c r="E11" i="42" l="1"/>
  <c r="E10" i="42"/>
  <c r="B22" i="43"/>
  <c r="D22" i="43" s="1"/>
  <c r="B38" i="43" s="1"/>
  <c r="D38" i="43" s="1"/>
  <c r="D23" i="53"/>
  <c r="G42" i="45"/>
  <c r="I42" i="45" s="1"/>
  <c r="G41" i="45"/>
  <c r="I41" i="45" s="1"/>
  <c r="F18" i="42"/>
  <c r="F17" i="42"/>
  <c r="F20" i="42"/>
  <c r="F19" i="42"/>
  <c r="F15" i="42"/>
  <c r="F22" i="42"/>
  <c r="F21" i="42"/>
  <c r="E12" i="42"/>
  <c r="F16" i="42"/>
  <c r="G16" i="42"/>
  <c r="I16" i="42" s="1"/>
  <c r="G20" i="42"/>
  <c r="I20" i="42" s="1"/>
  <c r="G17" i="42"/>
  <c r="I17" i="42" s="1"/>
  <c r="G22" i="42"/>
  <c r="I22" i="42" s="1"/>
  <c r="G21" i="42"/>
  <c r="I21" i="42" s="1"/>
  <c r="G18" i="42"/>
  <c r="I18" i="42" s="1"/>
  <c r="G15" i="42"/>
  <c r="I15" i="42" s="1"/>
  <c r="G19" i="42"/>
  <c r="I19" i="42" s="1"/>
  <c r="K22" i="42"/>
  <c r="L22" i="42" s="1"/>
  <c r="K20" i="42"/>
  <c r="L20" i="42" s="1"/>
  <c r="K17" i="42"/>
  <c r="L17" i="42" s="1"/>
  <c r="K16" i="42"/>
  <c r="L16" i="42" s="1"/>
  <c r="K21" i="42"/>
  <c r="L21" i="42" s="1"/>
  <c r="K18" i="42"/>
  <c r="L18" i="42" s="1"/>
  <c r="K15" i="42"/>
  <c r="L15" i="42" s="1"/>
  <c r="K19" i="42"/>
  <c r="L19" i="42" s="1"/>
  <c r="D49" i="37"/>
  <c r="D51" i="37" s="1"/>
  <c r="K14" i="42"/>
  <c r="L14" i="42" s="1"/>
  <c r="K13" i="42"/>
  <c r="L13" i="42" s="1"/>
  <c r="K7" i="42"/>
  <c r="L7" i="42" s="1"/>
  <c r="K11" i="42"/>
  <c r="L11" i="42" s="1"/>
  <c r="K5" i="42"/>
  <c r="L5" i="42" s="1"/>
  <c r="K6" i="42"/>
  <c r="L6" i="42" s="1"/>
  <c r="K10" i="42"/>
  <c r="L10" i="42" s="1"/>
  <c r="K12" i="42"/>
  <c r="L12" i="42" s="1"/>
  <c r="K9" i="42"/>
  <c r="L9" i="42" s="1"/>
  <c r="K8" i="42"/>
  <c r="L8" i="42" s="1"/>
  <c r="F12" i="42"/>
  <c r="F9" i="42"/>
  <c r="F13" i="42"/>
  <c r="F11" i="42"/>
  <c r="F6" i="42"/>
  <c r="F5" i="42"/>
  <c r="F14" i="42"/>
  <c r="F7" i="42"/>
  <c r="E4" i="42"/>
  <c r="H4" i="42" s="1"/>
  <c r="J4" i="42" s="1"/>
  <c r="F8" i="42"/>
  <c r="F10" i="42"/>
  <c r="G12" i="42"/>
  <c r="I12" i="42" s="1"/>
  <c r="G5" i="42"/>
  <c r="I5" i="42" s="1"/>
  <c r="G11" i="42"/>
  <c r="I11" i="42" s="1"/>
  <c r="G6" i="42"/>
  <c r="I6" i="42" s="1"/>
  <c r="G10" i="42"/>
  <c r="I10" i="42" s="1"/>
  <c r="G8" i="42"/>
  <c r="I8" i="42" s="1"/>
  <c r="G9" i="42"/>
  <c r="I9" i="42" s="1"/>
  <c r="G7" i="42"/>
  <c r="I7" i="42" s="1"/>
  <c r="G13" i="42"/>
  <c r="I13" i="42" s="1"/>
  <c r="G14" i="42"/>
  <c r="I14" i="42" s="1"/>
  <c r="F41" i="45"/>
  <c r="F42" i="45"/>
  <c r="D37" i="11"/>
  <c r="J8" i="4"/>
  <c r="L8" i="4" s="1"/>
  <c r="O9" i="4"/>
  <c r="K9" i="4" s="1"/>
  <c r="H9" i="4"/>
  <c r="E10" i="4"/>
  <c r="E10" i="45" l="1"/>
  <c r="E9" i="45"/>
  <c r="F10" i="45"/>
  <c r="E11" i="45"/>
  <c r="F35" i="45"/>
  <c r="F15" i="45"/>
  <c r="F23" i="45"/>
  <c r="F39" i="45"/>
  <c r="E12" i="45"/>
  <c r="F40" i="45"/>
  <c r="F38" i="45"/>
  <c r="F34" i="45"/>
  <c r="F37" i="45"/>
  <c r="F33" i="45"/>
  <c r="F36" i="45"/>
  <c r="D42" i="53"/>
  <c r="D43" i="53" s="1"/>
  <c r="F21" i="45"/>
  <c r="F28" i="45"/>
  <c r="E4" i="45"/>
  <c r="H4" i="45" s="1"/>
  <c r="J4" i="45" s="1"/>
  <c r="F14" i="45"/>
  <c r="F19" i="45"/>
  <c r="F8" i="45"/>
  <c r="F30" i="45"/>
  <c r="F20" i="45"/>
  <c r="F32" i="45"/>
  <c r="F31" i="45"/>
  <c r="F16" i="45"/>
  <c r="D42" i="43"/>
  <c r="F18" i="45"/>
  <c r="F26" i="45"/>
  <c r="F29" i="45"/>
  <c r="F5" i="45"/>
  <c r="F17" i="45"/>
  <c r="F22" i="45"/>
  <c r="F9" i="45"/>
  <c r="F24" i="45"/>
  <c r="F12" i="45"/>
  <c r="F11" i="45"/>
  <c r="F7" i="45"/>
  <c r="B31" i="53"/>
  <c r="D31" i="53" s="1"/>
  <c r="I11" i="8"/>
  <c r="D43" i="43"/>
  <c r="D44" i="43" s="1"/>
  <c r="K8" i="45" s="1"/>
  <c r="L8" i="45" s="1"/>
  <c r="B30" i="53"/>
  <c r="D30" i="53" s="1"/>
  <c r="F13" i="45"/>
  <c r="F25" i="45"/>
  <c r="F27" i="45"/>
  <c r="F6" i="45"/>
  <c r="H42" i="45"/>
  <c r="J42" i="45" s="1"/>
  <c r="H41" i="45"/>
  <c r="J41" i="45" s="1"/>
  <c r="H21" i="42"/>
  <c r="J21" i="42" s="1"/>
  <c r="H19" i="42"/>
  <c r="J19" i="42" s="1"/>
  <c r="H15" i="42"/>
  <c r="J15" i="42" s="1"/>
  <c r="H22" i="42"/>
  <c r="J22" i="42" s="1"/>
  <c r="H20" i="42"/>
  <c r="J20" i="42" s="1"/>
  <c r="H17" i="42"/>
  <c r="J17" i="42" s="1"/>
  <c r="H16" i="42"/>
  <c r="J16" i="42" s="1"/>
  <c r="H18" i="42"/>
  <c r="J18" i="42" s="1"/>
  <c r="H8" i="42"/>
  <c r="J8" i="42" s="1"/>
  <c r="H10" i="42"/>
  <c r="J10" i="42" s="1"/>
  <c r="H6" i="42"/>
  <c r="J6" i="42" s="1"/>
  <c r="H5" i="42"/>
  <c r="J5" i="42" s="1"/>
  <c r="D40" i="40"/>
  <c r="H11" i="42"/>
  <c r="J11" i="42" s="1"/>
  <c r="H13" i="42"/>
  <c r="J13" i="42" s="1"/>
  <c r="H9" i="42"/>
  <c r="J9" i="42" s="1"/>
  <c r="H12" i="42"/>
  <c r="J12" i="42" s="1"/>
  <c r="H7" i="42"/>
  <c r="J7" i="42" s="1"/>
  <c r="H14" i="42"/>
  <c r="J14" i="42" s="1"/>
  <c r="K41" i="45"/>
  <c r="L41" i="45" s="1"/>
  <c r="K42" i="45"/>
  <c r="L42" i="45" s="1"/>
  <c r="J9" i="4"/>
  <c r="L9" i="4" s="1"/>
  <c r="O10" i="4"/>
  <c r="K10" i="4" s="1"/>
  <c r="H10" i="4"/>
  <c r="E11" i="4"/>
  <c r="K34" i="45" l="1"/>
  <c r="L34" i="45" s="1"/>
  <c r="K33" i="45"/>
  <c r="L33" i="45" s="1"/>
  <c r="K35" i="45"/>
  <c r="L35" i="45" s="1"/>
  <c r="K37" i="45"/>
  <c r="L37" i="45" s="1"/>
  <c r="K38" i="45"/>
  <c r="L38" i="45" s="1"/>
  <c r="K39" i="45"/>
  <c r="L39" i="45" s="1"/>
  <c r="K40" i="45"/>
  <c r="L40" i="45" s="1"/>
  <c r="K36" i="45"/>
  <c r="L36" i="45" s="1"/>
  <c r="G11" i="45"/>
  <c r="I11" i="45" s="1"/>
  <c r="G40" i="45"/>
  <c r="G34" i="45"/>
  <c r="G35" i="45"/>
  <c r="G33" i="45"/>
  <c r="G39" i="45"/>
  <c r="G38" i="45"/>
  <c r="G37" i="45"/>
  <c r="G36" i="45"/>
  <c r="B40" i="53"/>
  <c r="D40" i="53" s="1"/>
  <c r="D79" i="53" s="1"/>
  <c r="D77" i="53" s="1"/>
  <c r="A5" i="53" s="1"/>
  <c r="G23" i="45"/>
  <c r="I23" i="45" s="1"/>
  <c r="G6" i="45"/>
  <c r="I6" i="45" s="1"/>
  <c r="G30" i="45"/>
  <c r="I30" i="45" s="1"/>
  <c r="G15" i="45"/>
  <c r="I15" i="45" s="1"/>
  <c r="G25" i="45"/>
  <c r="I25" i="45" s="1"/>
  <c r="G18" i="45"/>
  <c r="I18" i="45" s="1"/>
  <c r="G21" i="45"/>
  <c r="I21" i="45" s="1"/>
  <c r="G14" i="45"/>
  <c r="I14" i="45" s="1"/>
  <c r="G16" i="45"/>
  <c r="I16" i="45" s="1"/>
  <c r="G24" i="45"/>
  <c r="I24" i="45" s="1"/>
  <c r="G9" i="45"/>
  <c r="I9" i="45" s="1"/>
  <c r="G5" i="45"/>
  <c r="I5" i="45" s="1"/>
  <c r="G7" i="45"/>
  <c r="I7" i="45" s="1"/>
  <c r="G28" i="45"/>
  <c r="I28" i="45" s="1"/>
  <c r="G13" i="45"/>
  <c r="I13" i="45" s="1"/>
  <c r="G19" i="45"/>
  <c r="I19" i="45" s="1"/>
  <c r="G26" i="45"/>
  <c r="I26" i="45" s="1"/>
  <c r="G27" i="45"/>
  <c r="I27" i="45" s="1"/>
  <c r="G22" i="45"/>
  <c r="I22" i="45" s="1"/>
  <c r="G17" i="45"/>
  <c r="I17" i="45" s="1"/>
  <c r="P4" i="43"/>
  <c r="K13" i="45"/>
  <c r="L13" i="45" s="1"/>
  <c r="G29" i="45"/>
  <c r="I29" i="45" s="1"/>
  <c r="G31" i="45"/>
  <c r="I31" i="45" s="1"/>
  <c r="G20" i="45"/>
  <c r="I20" i="45" s="1"/>
  <c r="G8" i="45"/>
  <c r="I8" i="45" s="1"/>
  <c r="G10" i="45"/>
  <c r="I10" i="45" s="1"/>
  <c r="G12" i="45"/>
  <c r="I12" i="45" s="1"/>
  <c r="G32" i="45"/>
  <c r="I32" i="45" s="1"/>
  <c r="K18" i="45"/>
  <c r="L18" i="45" s="1"/>
  <c r="K11" i="45"/>
  <c r="L11" i="45" s="1"/>
  <c r="K9" i="45"/>
  <c r="L9" i="45" s="1"/>
  <c r="B22" i="46"/>
  <c r="D22" i="46" s="1"/>
  <c r="K19" i="45"/>
  <c r="L19" i="45" s="1"/>
  <c r="K27" i="45"/>
  <c r="L27" i="45" s="1"/>
  <c r="K21" i="45"/>
  <c r="L21" i="45" s="1"/>
  <c r="K20" i="45"/>
  <c r="L20" i="45" s="1"/>
  <c r="K29" i="45"/>
  <c r="L29" i="45" s="1"/>
  <c r="K12" i="45"/>
  <c r="L12" i="45" s="1"/>
  <c r="K16" i="45"/>
  <c r="L16" i="45" s="1"/>
  <c r="K17" i="45"/>
  <c r="L17" i="45" s="1"/>
  <c r="K24" i="45"/>
  <c r="L24" i="45" s="1"/>
  <c r="K5" i="45"/>
  <c r="L5" i="45" s="1"/>
  <c r="K28" i="45"/>
  <c r="L28" i="45" s="1"/>
  <c r="K30" i="45"/>
  <c r="L30" i="45" s="1"/>
  <c r="K22" i="45"/>
  <c r="L22" i="45" s="1"/>
  <c r="K7" i="45"/>
  <c r="L7" i="45" s="1"/>
  <c r="K31" i="45"/>
  <c r="L31" i="45" s="1"/>
  <c r="K25" i="45"/>
  <c r="L25" i="45" s="1"/>
  <c r="K32" i="45"/>
  <c r="L32" i="45" s="1"/>
  <c r="K10" i="45"/>
  <c r="L10" i="45" s="1"/>
  <c r="K26" i="45"/>
  <c r="L26" i="45" s="1"/>
  <c r="K15" i="45"/>
  <c r="L15" i="45" s="1"/>
  <c r="K14" i="45"/>
  <c r="L14" i="45" s="1"/>
  <c r="K23" i="45"/>
  <c r="L23" i="45" s="1"/>
  <c r="K6" i="45"/>
  <c r="L6" i="45" s="1"/>
  <c r="D37" i="40"/>
  <c r="D39" i="40" s="1"/>
  <c r="J10" i="4"/>
  <c r="L10" i="4" s="1"/>
  <c r="O11" i="4"/>
  <c r="K11" i="4" s="1"/>
  <c r="H11" i="4"/>
  <c r="E12" i="4"/>
  <c r="H11" i="45" l="1"/>
  <c r="J11" i="45" s="1"/>
  <c r="I37" i="45"/>
  <c r="H37" i="45"/>
  <c r="J37" i="45" s="1"/>
  <c r="I38" i="45"/>
  <c r="H38" i="45"/>
  <c r="J38" i="45" s="1"/>
  <c r="I39" i="45"/>
  <c r="H39" i="45"/>
  <c r="J39" i="45" s="1"/>
  <c r="I33" i="45"/>
  <c r="H33" i="45"/>
  <c r="J33" i="45" s="1"/>
  <c r="I35" i="45"/>
  <c r="H35" i="45"/>
  <c r="J35" i="45" s="1"/>
  <c r="I34" i="45"/>
  <c r="H34" i="45"/>
  <c r="J34" i="45" s="1"/>
  <c r="I40" i="45"/>
  <c r="H40" i="45"/>
  <c r="J40" i="45" s="1"/>
  <c r="I36" i="45"/>
  <c r="H36" i="45"/>
  <c r="J36" i="45" s="1"/>
  <c r="D36" i="46"/>
  <c r="G34" i="48" s="1"/>
  <c r="I34" i="48" s="1"/>
  <c r="H30" i="45"/>
  <c r="J30" i="45" s="1"/>
  <c r="H6" i="45"/>
  <c r="J6" i="45" s="1"/>
  <c r="H23" i="45"/>
  <c r="J23" i="45" s="1"/>
  <c r="H21" i="45"/>
  <c r="J21" i="45" s="1"/>
  <c r="H18" i="45"/>
  <c r="J18" i="45" s="1"/>
  <c r="H14" i="45"/>
  <c r="J14" i="45" s="1"/>
  <c r="H32" i="45"/>
  <c r="J32" i="45" s="1"/>
  <c r="H17" i="45"/>
  <c r="J17" i="45" s="1"/>
  <c r="H25" i="45"/>
  <c r="J25" i="45" s="1"/>
  <c r="H28" i="45"/>
  <c r="J28" i="45" s="1"/>
  <c r="H16" i="45"/>
  <c r="J16" i="45" s="1"/>
  <c r="H15" i="45"/>
  <c r="J15" i="45" s="1"/>
  <c r="H7" i="45"/>
  <c r="J7" i="45" s="1"/>
  <c r="H8" i="45"/>
  <c r="J8" i="45" s="1"/>
  <c r="H9" i="45"/>
  <c r="J9" i="45" s="1"/>
  <c r="H26" i="45"/>
  <c r="J26" i="45" s="1"/>
  <c r="H5" i="45"/>
  <c r="J5" i="45" s="1"/>
  <c r="H27" i="45"/>
  <c r="J27" i="45" s="1"/>
  <c r="H24" i="45"/>
  <c r="J24" i="45" s="1"/>
  <c r="H13" i="45"/>
  <c r="J13" i="45" s="1"/>
  <c r="H22" i="45"/>
  <c r="J22" i="45" s="1"/>
  <c r="H19" i="45"/>
  <c r="J19" i="45" s="1"/>
  <c r="H29" i="45"/>
  <c r="J29" i="45" s="1"/>
  <c r="H20" i="45"/>
  <c r="J20" i="45" s="1"/>
  <c r="H10" i="45"/>
  <c r="J10" i="45" s="1"/>
  <c r="H12" i="45"/>
  <c r="J12" i="45" s="1"/>
  <c r="H31" i="45"/>
  <c r="J31" i="45" s="1"/>
  <c r="D37" i="46"/>
  <c r="B32" i="46"/>
  <c r="D32" i="46" s="1"/>
  <c r="A5" i="40"/>
  <c r="L5" i="40" s="1"/>
  <c r="J11" i="4"/>
  <c r="L11" i="4" s="1"/>
  <c r="O12" i="4"/>
  <c r="K12" i="4" s="1"/>
  <c r="H12" i="4"/>
  <c r="E13" i="4"/>
  <c r="H13" i="4" s="1"/>
  <c r="E10" i="48" l="1"/>
  <c r="E9" i="48"/>
  <c r="F15" i="48"/>
  <c r="E11" i="48"/>
  <c r="G39" i="48"/>
  <c r="I39" i="48" s="1"/>
  <c r="G36" i="48"/>
  <c r="I36" i="48" s="1"/>
  <c r="G37" i="48"/>
  <c r="I37" i="48" s="1"/>
  <c r="G38" i="48"/>
  <c r="I38" i="48" s="1"/>
  <c r="F41" i="48"/>
  <c r="G41" i="48"/>
  <c r="I41" i="48" s="1"/>
  <c r="G35" i="48"/>
  <c r="I35" i="48" s="1"/>
  <c r="G40" i="48"/>
  <c r="I40" i="48" s="1"/>
  <c r="G42" i="48"/>
  <c r="I42" i="48" s="1"/>
  <c r="F42" i="48"/>
  <c r="F39" i="48"/>
  <c r="F35" i="48"/>
  <c r="F40" i="48"/>
  <c r="F37" i="48"/>
  <c r="F38" i="48"/>
  <c r="E12" i="48"/>
  <c r="F36" i="48"/>
  <c r="D49" i="43"/>
  <c r="K20" i="48"/>
  <c r="L20" i="48" s="1"/>
  <c r="K39" i="48"/>
  <c r="L39" i="48" s="1"/>
  <c r="K42" i="48"/>
  <c r="L42" i="48" s="1"/>
  <c r="K38" i="48"/>
  <c r="L38" i="48" s="1"/>
  <c r="K41" i="48"/>
  <c r="L41" i="48" s="1"/>
  <c r="K37" i="48"/>
  <c r="L37" i="48" s="1"/>
  <c r="K40" i="48"/>
  <c r="L40" i="48" s="1"/>
  <c r="K36" i="48"/>
  <c r="L36" i="48" s="1"/>
  <c r="K35" i="48"/>
  <c r="L35" i="48" s="1"/>
  <c r="D46" i="43"/>
  <c r="A5" i="43" s="1"/>
  <c r="L4" i="43" s="1"/>
  <c r="K5" i="48"/>
  <c r="L5" i="48" s="1"/>
  <c r="K11" i="48"/>
  <c r="L11" i="48" s="1"/>
  <c r="K9" i="48"/>
  <c r="L9" i="48" s="1"/>
  <c r="K8" i="48"/>
  <c r="L8" i="48" s="1"/>
  <c r="K10" i="48"/>
  <c r="L10" i="48" s="1"/>
  <c r="K18" i="48"/>
  <c r="L18" i="48" s="1"/>
  <c r="K25" i="48"/>
  <c r="L25" i="48" s="1"/>
  <c r="K12" i="48"/>
  <c r="L12" i="48" s="1"/>
  <c r="K14" i="48"/>
  <c r="L14" i="48" s="1"/>
  <c r="K19" i="48"/>
  <c r="L19" i="48" s="1"/>
  <c r="K16" i="48"/>
  <c r="L16" i="48" s="1"/>
  <c r="K28" i="48"/>
  <c r="L28" i="48" s="1"/>
  <c r="K26" i="48"/>
  <c r="L26" i="48" s="1"/>
  <c r="K32" i="48"/>
  <c r="L32" i="48" s="1"/>
  <c r="K24" i="48"/>
  <c r="L24" i="48" s="1"/>
  <c r="K15" i="48"/>
  <c r="L15" i="48" s="1"/>
  <c r="K22" i="48"/>
  <c r="L22" i="48" s="1"/>
  <c r="K30" i="48"/>
  <c r="L30" i="48" s="1"/>
  <c r="K17" i="48"/>
  <c r="L17" i="48" s="1"/>
  <c r="K33" i="48"/>
  <c r="L33" i="48" s="1"/>
  <c r="K34" i="48"/>
  <c r="L34" i="48" s="1"/>
  <c r="K27" i="48"/>
  <c r="L27" i="48" s="1"/>
  <c r="K6" i="48"/>
  <c r="L6" i="48" s="1"/>
  <c r="K21" i="48"/>
  <c r="L21" i="48" s="1"/>
  <c r="K23" i="48"/>
  <c r="L23" i="48" s="1"/>
  <c r="K31" i="48"/>
  <c r="L31" i="48" s="1"/>
  <c r="K13" i="48"/>
  <c r="L13" i="48" s="1"/>
  <c r="K29" i="48"/>
  <c r="L29" i="48" s="1"/>
  <c r="K7" i="48"/>
  <c r="L7" i="48" s="1"/>
  <c r="F18" i="48"/>
  <c r="F7" i="48"/>
  <c r="G26" i="48"/>
  <c r="I26" i="48" s="1"/>
  <c r="F31" i="48"/>
  <c r="F33" i="48"/>
  <c r="F17" i="48"/>
  <c r="F6" i="48"/>
  <c r="F34" i="48"/>
  <c r="H34" i="48" s="1"/>
  <c r="J34" i="48" s="1"/>
  <c r="F27" i="48"/>
  <c r="F13" i="48"/>
  <c r="G8" i="48"/>
  <c r="I8" i="48" s="1"/>
  <c r="G20" i="48"/>
  <c r="I20" i="48" s="1"/>
  <c r="G21" i="48"/>
  <c r="I21" i="48" s="1"/>
  <c r="G31" i="48"/>
  <c r="I31" i="48" s="1"/>
  <c r="G17" i="48"/>
  <c r="I17" i="48" s="1"/>
  <c r="G14" i="48"/>
  <c r="I14" i="48" s="1"/>
  <c r="G28" i="48"/>
  <c r="I28" i="48" s="1"/>
  <c r="G5" i="48"/>
  <c r="I5" i="48" s="1"/>
  <c r="G11" i="48"/>
  <c r="I11" i="48" s="1"/>
  <c r="G19" i="48"/>
  <c r="I19" i="48" s="1"/>
  <c r="G32" i="48"/>
  <c r="I32" i="48" s="1"/>
  <c r="G13" i="48"/>
  <c r="I13" i="48" s="1"/>
  <c r="G16" i="48"/>
  <c r="I16" i="48" s="1"/>
  <c r="F26" i="48"/>
  <c r="F16" i="48"/>
  <c r="E4" i="48"/>
  <c r="H4" i="48" s="1"/>
  <c r="J4" i="48" s="1"/>
  <c r="F32" i="48"/>
  <c r="F22" i="48"/>
  <c r="F29" i="48"/>
  <c r="F10" i="48"/>
  <c r="F11" i="48"/>
  <c r="F20" i="48"/>
  <c r="G12" i="48"/>
  <c r="I12" i="48" s="1"/>
  <c r="G25" i="48"/>
  <c r="I25" i="48" s="1"/>
  <c r="G7" i="48"/>
  <c r="I7" i="48" s="1"/>
  <c r="G29" i="48"/>
  <c r="I29" i="48" s="1"/>
  <c r="G9" i="48"/>
  <c r="I9" i="48" s="1"/>
  <c r="G6" i="48"/>
  <c r="I6" i="48" s="1"/>
  <c r="G18" i="48"/>
  <c r="I18" i="48" s="1"/>
  <c r="G24" i="48"/>
  <c r="I24" i="48" s="1"/>
  <c r="G15" i="48"/>
  <c r="I15" i="48" s="1"/>
  <c r="G10" i="48"/>
  <c r="I10" i="48" s="1"/>
  <c r="G27" i="48"/>
  <c r="I27" i="48" s="1"/>
  <c r="G30" i="48"/>
  <c r="I30" i="48" s="1"/>
  <c r="G33" i="48"/>
  <c r="I33" i="48" s="1"/>
  <c r="G22" i="48"/>
  <c r="I22" i="48" s="1"/>
  <c r="G23" i="48"/>
  <c r="I23" i="48" s="1"/>
  <c r="F24" i="48"/>
  <c r="F8" i="48"/>
  <c r="F14" i="48"/>
  <c r="F28" i="48"/>
  <c r="F21" i="48"/>
  <c r="F12" i="48"/>
  <c r="F23" i="48"/>
  <c r="F19" i="48"/>
  <c r="F30" i="48"/>
  <c r="F25" i="48"/>
  <c r="F5" i="48"/>
  <c r="F9" i="48"/>
  <c r="J12" i="4"/>
  <c r="L12" i="4" s="1"/>
  <c r="N12" i="4" s="1"/>
  <c r="O13" i="4"/>
  <c r="K13" i="4" s="1"/>
  <c r="E14" i="4"/>
  <c r="H14" i="4" s="1"/>
  <c r="H39" i="48" l="1"/>
  <c r="J39" i="48" s="1"/>
  <c r="H37" i="48"/>
  <c r="J37" i="48" s="1"/>
  <c r="H38" i="48"/>
  <c r="J38" i="48" s="1"/>
  <c r="H36" i="48"/>
  <c r="J36" i="48" s="1"/>
  <c r="H35" i="48"/>
  <c r="J35" i="48" s="1"/>
  <c r="H42" i="48"/>
  <c r="J42" i="48" s="1"/>
  <c r="H41" i="48"/>
  <c r="J41" i="48" s="1"/>
  <c r="H40" i="48"/>
  <c r="J40" i="48" s="1"/>
  <c r="D48" i="43"/>
  <c r="H25" i="48"/>
  <c r="J25" i="48" s="1"/>
  <c r="H19" i="48"/>
  <c r="J19" i="48" s="1"/>
  <c r="H8" i="48"/>
  <c r="J8" i="48" s="1"/>
  <c r="H26" i="48"/>
  <c r="J26" i="48" s="1"/>
  <c r="H13" i="48"/>
  <c r="J13" i="48" s="1"/>
  <c r="H20" i="48"/>
  <c r="J20" i="48" s="1"/>
  <c r="H27" i="48"/>
  <c r="J27" i="48" s="1"/>
  <c r="H7" i="48"/>
  <c r="J7" i="48" s="1"/>
  <c r="H21" i="48"/>
  <c r="J21" i="48" s="1"/>
  <c r="H23" i="48"/>
  <c r="J23" i="48" s="1"/>
  <c r="H5" i="48"/>
  <c r="J5" i="48" s="1"/>
  <c r="H16" i="48"/>
  <c r="J16" i="48" s="1"/>
  <c r="H14" i="48"/>
  <c r="J14" i="48" s="1"/>
  <c r="H28" i="48"/>
  <c r="J28" i="48" s="1"/>
  <c r="H11" i="48"/>
  <c r="J11" i="48" s="1"/>
  <c r="H10" i="48"/>
  <c r="J10" i="48" s="1"/>
  <c r="H32" i="48"/>
  <c r="J32" i="48" s="1"/>
  <c r="H17" i="48"/>
  <c r="J17" i="48" s="1"/>
  <c r="H31" i="48"/>
  <c r="J31" i="48" s="1"/>
  <c r="H29" i="48"/>
  <c r="J29" i="48" s="1"/>
  <c r="H6" i="48"/>
  <c r="J6" i="48" s="1"/>
  <c r="H15" i="48"/>
  <c r="J15" i="48" s="1"/>
  <c r="H12" i="48"/>
  <c r="J12" i="48" s="1"/>
  <c r="H9" i="48"/>
  <c r="J9" i="48" s="1"/>
  <c r="H33" i="48"/>
  <c r="J33" i="48" s="1"/>
  <c r="D42" i="46"/>
  <c r="H22" i="48"/>
  <c r="J22" i="48" s="1"/>
  <c r="H30" i="48"/>
  <c r="J30" i="48" s="1"/>
  <c r="H18" i="48"/>
  <c r="J18" i="48" s="1"/>
  <c r="H24" i="48"/>
  <c r="J24" i="48" s="1"/>
  <c r="J13" i="4"/>
  <c r="L13" i="4" s="1"/>
  <c r="O14" i="4"/>
  <c r="K14" i="4" s="1"/>
  <c r="E15" i="4"/>
  <c r="H15" i="4" s="1"/>
  <c r="D39" i="46" l="1"/>
  <c r="A5" i="46" s="1"/>
  <c r="L4" i="46" s="1"/>
  <c r="J14" i="4"/>
  <c r="L14" i="4" s="1"/>
  <c r="O15" i="4"/>
  <c r="K15" i="4" s="1"/>
  <c r="E16" i="4"/>
  <c r="H16" i="4" s="1"/>
  <c r="D41" i="46" l="1"/>
  <c r="J15" i="4"/>
  <c r="L15" i="4" s="1"/>
  <c r="O16" i="4"/>
  <c r="K16" i="4" s="1"/>
  <c r="E17" i="4"/>
  <c r="H17" i="4" s="1"/>
  <c r="J16" i="4" l="1"/>
  <c r="L16" i="4" s="1"/>
  <c r="O17" i="4"/>
  <c r="K17" i="4" s="1"/>
  <c r="E18" i="4"/>
  <c r="H18" i="4" s="1"/>
  <c r="O18" i="4" l="1"/>
  <c r="K18" i="4" s="1"/>
  <c r="J17" i="4"/>
  <c r="L17" i="4" s="1"/>
  <c r="E19" i="4"/>
  <c r="H19" i="4" s="1"/>
  <c r="J18" i="4" l="1"/>
  <c r="L18" i="4" s="1"/>
  <c r="O19" i="4"/>
  <c r="K19" i="4" s="1"/>
  <c r="E20" i="4"/>
  <c r="H20" i="4" s="1"/>
  <c r="J19" i="4" l="1"/>
  <c r="L19" i="4" s="1"/>
  <c r="O20" i="4"/>
  <c r="K20" i="4" s="1"/>
  <c r="E21" i="4"/>
  <c r="H21" i="4" s="1"/>
  <c r="J20" i="4" l="1"/>
  <c r="L20" i="4" s="1"/>
  <c r="O21" i="4"/>
  <c r="K21" i="4" s="1"/>
  <c r="E22" i="4"/>
  <c r="H22" i="4" s="1"/>
  <c r="J21" i="4" l="1"/>
  <c r="L21" i="4" s="1"/>
  <c r="O22" i="4"/>
  <c r="K22" i="4" s="1"/>
  <c r="E23" i="4"/>
  <c r="H23" i="4" s="1"/>
  <c r="J22" i="4" l="1"/>
  <c r="L22" i="4" s="1"/>
  <c r="O23" i="4"/>
  <c r="K23" i="4" s="1"/>
  <c r="E24" i="4"/>
  <c r="H24" i="4" s="1"/>
  <c r="J23" i="4" l="1"/>
  <c r="L23" i="4" s="1"/>
  <c r="O24" i="4"/>
  <c r="K24" i="4" s="1"/>
  <c r="E25" i="4"/>
  <c r="H25" i="4" s="1"/>
  <c r="J24" i="4" l="1"/>
  <c r="L24" i="4" s="1"/>
  <c r="O25" i="4"/>
  <c r="K25" i="4" s="1"/>
  <c r="E26" i="4"/>
  <c r="H26" i="4" s="1"/>
  <c r="J25" i="4" l="1"/>
  <c r="L25" i="4" s="1"/>
  <c r="O26" i="4"/>
  <c r="K26" i="4" s="1"/>
  <c r="E27" i="4"/>
  <c r="H27" i="4" s="1"/>
  <c r="J26" i="4" l="1"/>
  <c r="L26" i="4" s="1"/>
  <c r="O27" i="4"/>
  <c r="K27" i="4" s="1"/>
  <c r="E28" i="4"/>
  <c r="H28" i="4" s="1"/>
  <c r="J27" i="4" l="1"/>
  <c r="L27" i="4" s="1"/>
  <c r="O28" i="4"/>
  <c r="K28" i="4" s="1"/>
  <c r="E29" i="4"/>
  <c r="H29" i="4" s="1"/>
  <c r="J28" i="4" l="1"/>
  <c r="L28" i="4" s="1"/>
  <c r="O29" i="4"/>
  <c r="K29" i="4" s="1"/>
  <c r="E30" i="4"/>
  <c r="H30" i="4" s="1"/>
  <c r="J29" i="4" l="1"/>
  <c r="L29" i="4" s="1"/>
  <c r="O30" i="4"/>
  <c r="K30" i="4" s="1"/>
  <c r="E31" i="4"/>
  <c r="H31" i="4" s="1"/>
  <c r="J30" i="4" l="1"/>
  <c r="L30" i="4" s="1"/>
  <c r="N30" i="4" s="1"/>
  <c r="O31" i="4"/>
  <c r="K31" i="4" s="1"/>
  <c r="E32" i="4"/>
  <c r="H32" i="4" s="1"/>
  <c r="P30" i="4"/>
  <c r="N24" i="4"/>
  <c r="P24" i="4"/>
  <c r="P7" i="4"/>
  <c r="N7" i="4"/>
  <c r="N26" i="4"/>
  <c r="P26" i="4"/>
  <c r="N18" i="4"/>
  <c r="P18" i="4"/>
  <c r="N10" i="4"/>
  <c r="P10" i="4"/>
  <c r="N16" i="4"/>
  <c r="P16" i="4"/>
  <c r="N23" i="4"/>
  <c r="P23" i="4"/>
  <c r="P6" i="4"/>
  <c r="N6" i="4"/>
  <c r="P25" i="4"/>
  <c r="N17" i="4"/>
  <c r="P17" i="4"/>
  <c r="N9" i="4"/>
  <c r="P9" i="4"/>
  <c r="P5" i="4"/>
  <c r="P8" i="4"/>
  <c r="N8" i="4"/>
  <c r="N15" i="4"/>
  <c r="P15" i="4"/>
  <c r="N22" i="4"/>
  <c r="P22" i="4"/>
  <c r="N29" i="4"/>
  <c r="P29" i="4"/>
  <c r="N21" i="4"/>
  <c r="P21" i="4"/>
  <c r="N13" i="4"/>
  <c r="P13" i="4"/>
  <c r="N28" i="4"/>
  <c r="P28" i="4"/>
  <c r="N20" i="4"/>
  <c r="P20" i="4"/>
  <c r="P12" i="4"/>
  <c r="N14" i="4"/>
  <c r="P14" i="4"/>
  <c r="N27" i="4"/>
  <c r="P27" i="4"/>
  <c r="P19" i="4"/>
  <c r="N11" i="4"/>
  <c r="P11" i="4"/>
  <c r="P31" i="4" l="1"/>
  <c r="J31" i="4"/>
  <c r="L31" i="4" s="1"/>
  <c r="N31" i="4" s="1"/>
  <c r="O32" i="4"/>
  <c r="K32" i="4" s="1"/>
  <c r="E33" i="4"/>
  <c r="H33" i="4" s="1"/>
  <c r="N19" i="4"/>
  <c r="N25" i="4"/>
  <c r="P32" i="4" l="1"/>
  <c r="J32" i="4"/>
  <c r="L32" i="4" s="1"/>
  <c r="N32" i="4" s="1"/>
  <c r="O33" i="4"/>
  <c r="K33" i="4" s="1"/>
  <c r="E34" i="4"/>
  <c r="H34" i="4" s="1"/>
  <c r="R9" i="10"/>
  <c r="P33" i="4" l="1"/>
  <c r="J33" i="4"/>
  <c r="L33" i="4" s="1"/>
  <c r="N33" i="4" s="1"/>
  <c r="O34" i="4"/>
  <c r="K34" i="4" s="1"/>
  <c r="D62" i="7"/>
  <c r="E35" i="4"/>
  <c r="H35" i="4" s="1"/>
  <c r="P34" i="4" l="1"/>
  <c r="J34" i="4"/>
  <c r="L34" i="4" s="1"/>
  <c r="N34" i="4" s="1"/>
  <c r="O35" i="4"/>
  <c r="P35" i="4" s="1"/>
  <c r="A5" i="7"/>
  <c r="D64" i="7"/>
  <c r="E36" i="4"/>
  <c r="H36" i="4" s="1"/>
  <c r="J35" i="4" l="1"/>
  <c r="K35" i="4"/>
  <c r="O36" i="4"/>
  <c r="K36" i="4" s="1"/>
  <c r="E37" i="4"/>
  <c r="H37" i="4" s="1"/>
  <c r="L35" i="4" l="1"/>
  <c r="N35" i="4" s="1"/>
  <c r="P36" i="4"/>
  <c r="J36" i="4"/>
  <c r="L36" i="4" s="1"/>
  <c r="N36" i="4" s="1"/>
  <c r="O37" i="4"/>
  <c r="J37" i="4" s="1"/>
  <c r="E38" i="4"/>
  <c r="H38" i="4" s="1"/>
  <c r="P37" i="4" l="1"/>
  <c r="K37" i="4"/>
  <c r="L37" i="4" s="1"/>
  <c r="N37" i="4" s="1"/>
  <c r="O38" i="4"/>
  <c r="K38" i="4" s="1"/>
  <c r="E39" i="4"/>
  <c r="H39" i="4" s="1"/>
  <c r="P38" i="4" l="1"/>
  <c r="J38" i="4"/>
  <c r="L38" i="4" s="1"/>
  <c r="N38" i="4" s="1"/>
  <c r="O39" i="4"/>
  <c r="K39" i="4" s="1"/>
  <c r="E40" i="4"/>
  <c r="H40" i="4" s="1"/>
  <c r="P39" i="4" l="1"/>
  <c r="J39" i="4"/>
  <c r="L39" i="4" s="1"/>
  <c r="N39" i="4" s="1"/>
  <c r="O40" i="4"/>
  <c r="K40" i="4" s="1"/>
  <c r="E41" i="4"/>
  <c r="H41" i="4" s="1"/>
  <c r="P40" i="4" l="1"/>
  <c r="J40" i="4"/>
  <c r="L40" i="4" s="1"/>
  <c r="N40" i="4" s="1"/>
  <c r="O41" i="4"/>
  <c r="K41" i="4" s="1"/>
  <c r="E42" i="4"/>
  <c r="H42" i="4" s="1"/>
  <c r="J41" i="4" l="1"/>
  <c r="L41" i="4" s="1"/>
  <c r="N41" i="4" s="1"/>
  <c r="P41" i="4"/>
  <c r="O42" i="4"/>
  <c r="K42" i="4" s="1"/>
  <c r="J42" i="4" l="1"/>
  <c r="P42" i="4"/>
  <c r="D61" i="1" l="1"/>
  <c r="L42" i="4"/>
  <c r="N42" i="4" s="1"/>
  <c r="D59" i="1" s="1"/>
  <c r="H63" i="8" l="1"/>
  <c r="D62" i="1"/>
  <c r="H62" i="8" l="1"/>
  <c r="A5" i="1"/>
  <c r="H58" i="8" l="1"/>
  <c r="C20" i="8" l="1"/>
  <c r="B32" i="8"/>
  <c r="C54" i="27"/>
  <c r="C56" i="27" s="1"/>
  <c r="A5" i="27" s="1"/>
  <c r="H106" i="8" s="1"/>
  <c r="C42" i="26"/>
  <c r="B32" i="26"/>
  <c r="D32" i="26" s="1"/>
  <c r="K64" i="8"/>
  <c r="K62" i="8"/>
  <c r="K65" i="8"/>
  <c r="K63" i="8"/>
  <c r="C41" i="26" l="1"/>
  <c r="C44" i="26" s="1"/>
  <c r="A5" i="26" s="1"/>
  <c r="H102" i="8"/>
  <c r="E32" i="8"/>
  <c r="D47" i="33"/>
  <c r="D57" i="33" s="1"/>
  <c r="K106" i="8" l="1"/>
  <c r="K107" i="8"/>
  <c r="H86" i="8"/>
  <c r="H82" i="8" l="1"/>
  <c r="E20" i="8" l="1"/>
  <c r="B47" i="51"/>
  <c r="D47" i="51" s="1"/>
  <c r="A5" i="37"/>
  <c r="L10" i="37" l="1"/>
  <c r="K3" i="37"/>
  <c r="K86" i="8" l="1"/>
  <c r="D27" i="37"/>
  <c r="K85" i="8" l="1"/>
  <c r="K83" i="8"/>
  <c r="K87" i="8"/>
  <c r="K84" i="8"/>
  <c r="D28" i="37" l="1"/>
  <c r="B29" i="37" a="1"/>
  <c r="B30" i="37" a="1"/>
  <c r="B29" i="37" l="1"/>
  <c r="D29" i="37" s="1"/>
  <c r="B30" i="37"/>
  <c r="D30" i="37" s="1"/>
  <c r="B117" i="8"/>
  <c r="B26" i="37" l="1"/>
  <c r="D26" i="37" s="1"/>
  <c r="B24" i="37" s="1"/>
  <c r="D24" i="37" s="1"/>
  <c r="H120" i="8"/>
  <c r="H116" i="8" l="1"/>
  <c r="B33" i="8" l="1"/>
  <c r="E33" i="8" s="1"/>
  <c r="K121" i="8"/>
  <c r="K120" i="8"/>
  <c r="I20" i="8"/>
  <c r="D25" i="51"/>
  <c r="AE9" i="49" l="1"/>
  <c r="AA9" i="49"/>
  <c r="AC9" i="49"/>
  <c r="W9" i="49"/>
  <c r="Y9" i="49"/>
  <c r="S9" i="49"/>
  <c r="U9" i="49"/>
  <c r="Q9" i="49"/>
  <c r="B29" i="51"/>
  <c r="D29" i="51" s="1"/>
  <c r="E15" i="51" l="1"/>
  <c r="B36" i="51"/>
  <c r="D36" i="51" s="1"/>
  <c r="B25" i="33" a="1"/>
  <c r="B25" i="33" s="1"/>
  <c r="D25" i="33" s="1"/>
  <c r="B42" i="51"/>
  <c r="D42" i="51" s="1"/>
  <c r="B37" i="51"/>
  <c r="D37" i="51" s="1"/>
  <c r="B41" i="51"/>
  <c r="D41" i="51" s="1"/>
  <c r="B54" i="51" l="1"/>
  <c r="D54" i="51" s="1"/>
  <c r="B40" i="33"/>
  <c r="D40" i="33" s="1"/>
  <c r="B41" i="33" s="1"/>
  <c r="D41" i="33" s="1"/>
  <c r="B42" i="33" s="1"/>
  <c r="D42" i="33" s="1"/>
  <c r="B45" i="33" l="1"/>
  <c r="D45" i="33" s="1"/>
  <c r="B44" i="33"/>
  <c r="D44" i="33" s="1"/>
  <c r="B55" i="33" l="1"/>
  <c r="D55" i="33" s="1"/>
  <c r="E10" i="31" l="1"/>
  <c r="E9" i="31"/>
  <c r="F12" i="31"/>
  <c r="E11" i="31"/>
  <c r="F8" i="31"/>
  <c r="F14" i="31"/>
  <c r="F26" i="31"/>
  <c r="F21" i="31"/>
  <c r="F27" i="31"/>
  <c r="F23" i="31"/>
  <c r="F20" i="31"/>
  <c r="F22" i="31"/>
  <c r="F25" i="31"/>
  <c r="F24" i="31"/>
  <c r="E12" i="31"/>
  <c r="F16" i="31"/>
  <c r="F10" i="31"/>
  <c r="F18" i="31"/>
  <c r="F9" i="31"/>
  <c r="F11" i="31"/>
  <c r="F5" i="31"/>
  <c r="F13" i="31"/>
  <c r="F6" i="31"/>
  <c r="E4" i="31"/>
  <c r="H4" i="31" s="1"/>
  <c r="J4" i="31" s="1"/>
  <c r="F17" i="31"/>
  <c r="F19" i="31"/>
  <c r="F7" i="31"/>
  <c r="F15" i="31"/>
  <c r="D58" i="51"/>
  <c r="D62" i="33"/>
  <c r="D61" i="33"/>
  <c r="G20" i="31" l="1"/>
  <c r="I20" i="31" s="1"/>
  <c r="G27" i="31"/>
  <c r="I27" i="31" s="1"/>
  <c r="G26" i="31"/>
  <c r="I26" i="31" s="1"/>
  <c r="K25" i="31"/>
  <c r="L25" i="31" s="1"/>
  <c r="K26" i="31"/>
  <c r="L26" i="31" s="1"/>
  <c r="K27" i="31"/>
  <c r="L27" i="31" s="1"/>
  <c r="G6" i="31"/>
  <c r="H6" i="31" s="1"/>
  <c r="J6" i="31" s="1"/>
  <c r="G23" i="31"/>
  <c r="I23" i="31" s="1"/>
  <c r="G24" i="31"/>
  <c r="I24" i="31" s="1"/>
  <c r="G22" i="31"/>
  <c r="I22" i="31" s="1"/>
  <c r="G21" i="31"/>
  <c r="I21" i="31" s="1"/>
  <c r="G25" i="31"/>
  <c r="I25" i="31" s="1"/>
  <c r="K6" i="31"/>
  <c r="L6" i="31" s="1"/>
  <c r="K24" i="31"/>
  <c r="L24" i="31" s="1"/>
  <c r="K23" i="31"/>
  <c r="L23" i="31" s="1"/>
  <c r="K21" i="31"/>
  <c r="L21" i="31" s="1"/>
  <c r="K22" i="31"/>
  <c r="L22" i="31" s="1"/>
  <c r="K20" i="31"/>
  <c r="L20" i="31" s="1"/>
  <c r="B145" i="8"/>
  <c r="D60" i="51"/>
  <c r="A5" i="51" s="1"/>
  <c r="H137" i="8" s="1"/>
  <c r="H133" i="8" s="1"/>
  <c r="K137" i="8" s="1"/>
  <c r="G13" i="31"/>
  <c r="G8" i="31"/>
  <c r="G17" i="31"/>
  <c r="K19" i="31"/>
  <c r="L19" i="31" s="1"/>
  <c r="K5" i="31"/>
  <c r="L5" i="31" s="1"/>
  <c r="G18" i="31"/>
  <c r="G10" i="31"/>
  <c r="K15" i="31"/>
  <c r="L15" i="31" s="1"/>
  <c r="K8" i="31"/>
  <c r="L8" i="31" s="1"/>
  <c r="G9" i="31"/>
  <c r="G15" i="31"/>
  <c r="G11" i="31"/>
  <c r="G7" i="31"/>
  <c r="K9" i="31"/>
  <c r="L9" i="31" s="1"/>
  <c r="G12" i="31"/>
  <c r="G19" i="31"/>
  <c r="K12" i="31"/>
  <c r="L12" i="31" s="1"/>
  <c r="K18" i="31"/>
  <c r="L18" i="31" s="1"/>
  <c r="K7" i="31"/>
  <c r="L7" i="31" s="1"/>
  <c r="G16" i="31"/>
  <c r="G5" i="31"/>
  <c r="K17" i="31"/>
  <c r="L17" i="31" s="1"/>
  <c r="K14" i="31"/>
  <c r="L14" i="31" s="1"/>
  <c r="G14" i="31"/>
  <c r="K11" i="31"/>
  <c r="L11" i="31" s="1"/>
  <c r="K13" i="31"/>
  <c r="L13" i="31" s="1"/>
  <c r="K16" i="31"/>
  <c r="L16" i="31" s="1"/>
  <c r="K10" i="31"/>
  <c r="L10" i="31" s="1"/>
  <c r="H27" i="31" l="1"/>
  <c r="J27" i="31" s="1"/>
  <c r="I6" i="31"/>
  <c r="H20" i="31"/>
  <c r="J20" i="31" s="1"/>
  <c r="H26" i="31"/>
  <c r="J26" i="31" s="1"/>
  <c r="H25" i="31"/>
  <c r="J25" i="31" s="1"/>
  <c r="H22" i="31"/>
  <c r="J22" i="31" s="1"/>
  <c r="H24" i="31"/>
  <c r="J24" i="31" s="1"/>
  <c r="H21" i="31"/>
  <c r="J21" i="31" s="1"/>
  <c r="H23" i="31"/>
  <c r="J23" i="31" s="1"/>
  <c r="B34" i="8"/>
  <c r="E34" i="8" s="1"/>
  <c r="H15" i="31"/>
  <c r="J15" i="31" s="1"/>
  <c r="I15" i="31"/>
  <c r="I17" i="31"/>
  <c r="H17" i="31"/>
  <c r="J17" i="31" s="1"/>
  <c r="H19" i="31"/>
  <c r="J19" i="31" s="1"/>
  <c r="I19" i="31"/>
  <c r="H9" i="31"/>
  <c r="J9" i="31" s="1"/>
  <c r="I9" i="31"/>
  <c r="H8" i="31"/>
  <c r="J8" i="31" s="1"/>
  <c r="I8" i="31"/>
  <c r="H12" i="31"/>
  <c r="J12" i="31" s="1"/>
  <c r="I12" i="31"/>
  <c r="H13" i="31"/>
  <c r="J13" i="31" s="1"/>
  <c r="I13" i="31"/>
  <c r="H5" i="31"/>
  <c r="J5" i="31" s="1"/>
  <c r="I5" i="31"/>
  <c r="H10" i="31"/>
  <c r="J10" i="31" s="1"/>
  <c r="I10" i="31"/>
  <c r="I14" i="31"/>
  <c r="H14" i="31"/>
  <c r="J14" i="31" s="1"/>
  <c r="H16" i="31"/>
  <c r="J16" i="31" s="1"/>
  <c r="I16" i="31"/>
  <c r="H7" i="31"/>
  <c r="J7" i="31" s="1"/>
  <c r="I7" i="31"/>
  <c r="I18" i="31"/>
  <c r="H18" i="31"/>
  <c r="J18" i="31" s="1"/>
  <c r="B29" i="8"/>
  <c r="K20" i="8"/>
  <c r="K138" i="8"/>
  <c r="H11" i="31"/>
  <c r="J11" i="31" s="1"/>
  <c r="I11" i="31"/>
  <c r="D67" i="33" l="1"/>
  <c r="D64" i="33"/>
  <c r="B36" i="8"/>
  <c r="B20" i="8"/>
  <c r="E31" i="8"/>
  <c r="A5" i="33" l="1"/>
  <c r="D66" i="33"/>
  <c r="K3" i="33" l="1"/>
  <c r="J21"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Afonso Canha</author>
  </authors>
  <commentList>
    <comment ref="K14" authorId="0" shapeId="0" xr:uid="{C43932E9-3A1B-4656-B66D-1E0906BF0658}">
      <text>
        <r>
          <rPr>
            <b/>
            <sz val="9"/>
            <color rgb="FF000000"/>
            <rFont val="Tahoma"/>
            <family val="2"/>
          </rPr>
          <t>Please go to the "FinalStorage" section to select the duration time of storage.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Dogliani Pietro</author>
  </authors>
  <commentList>
    <comment ref="J8" authorId="0" shapeId="0" xr:uid="{EE63BC37-23EF-40E8-AD60-55EE601066B7}">
      <text>
        <r>
          <rPr>
            <b/>
            <sz val="9"/>
            <color indexed="81"/>
            <rFont val="Tahoma"/>
            <family val="2"/>
          </rPr>
          <t>Dogliani Pietro:</t>
        </r>
        <r>
          <rPr>
            <sz val="9"/>
            <color indexed="81"/>
            <rFont val="Tahoma"/>
            <family val="2"/>
          </rPr>
          <t xml:space="preserve">
real discount rate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9517AA3B-990F-5E49-8C62-EFC411C647BB}">
      <text>
        <r>
          <rPr>
            <b/>
            <sz val="10"/>
            <color rgb="FF000000"/>
            <rFont val="Tahoma"/>
            <family val="2"/>
          </rPr>
          <t>Microsoft Office User:</t>
        </r>
        <r>
          <rPr>
            <sz val="10"/>
            <color rgb="FF000000"/>
            <rFont val="Tahoma"/>
            <family val="2"/>
          </rPr>
          <t xml:space="preserve">
</t>
        </r>
        <r>
          <rPr>
            <sz val="10"/>
            <color rgb="FF000000"/>
            <rFont val="Tahoma"/>
            <family val="2"/>
          </rPr>
          <t>Stack hours at the end of the year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9" authorId="0" shapeId="0" xr:uid="{06BA9E76-AA9A-364C-8757-D47912AD0F99}">
      <text>
        <r>
          <rPr>
            <b/>
            <sz val="10"/>
            <color rgb="FF000000"/>
            <rFont val="Tahoma"/>
            <family val="2"/>
          </rPr>
          <t>Microsoft Office User:</t>
        </r>
        <r>
          <rPr>
            <sz val="10"/>
            <color rgb="FF000000"/>
            <rFont val="Tahoma"/>
            <family val="2"/>
          </rPr>
          <t xml:space="preserve">
</t>
        </r>
        <r>
          <rPr>
            <sz val="10"/>
            <color rgb="FF000000"/>
            <rFont val="Tahoma"/>
            <family val="2"/>
          </rPr>
          <t xml:space="preserve">User can override here with average gas cost throughout whole length of the project, or overwrite with annual value in Data prod sheet
</t>
        </r>
      </text>
    </comment>
    <comment ref="F42" authorId="0" shapeId="0" xr:uid="{57E2BFD6-1C4A-B943-8437-010444EEF33C}">
      <text>
        <r>
          <rPr>
            <b/>
            <sz val="10"/>
            <color rgb="FF000000"/>
            <rFont val="Tahoma"/>
            <family val="2"/>
          </rPr>
          <t>Microsoft Office User:</t>
        </r>
        <r>
          <rPr>
            <sz val="10"/>
            <color rgb="FF000000"/>
            <rFont val="Tahoma"/>
            <family val="2"/>
          </rPr>
          <t xml:space="preserve">
</t>
        </r>
        <r>
          <rPr>
            <sz val="10"/>
            <color rgb="FF000000"/>
            <rFont val="Calibri"/>
            <family val="2"/>
          </rPr>
          <t xml:space="preserve">User can override here with average ETS price throughout whole length of the project, or overwrite with annual value in Data prod sheet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7" authorId="0" shapeId="0" xr:uid="{BB37FF62-C8DE-2F4D-A242-FD320C4AD16F}">
      <text>
        <r>
          <rPr>
            <b/>
            <sz val="10"/>
            <color rgb="FF000000"/>
            <rFont val="Tahoma"/>
            <family val="2"/>
          </rPr>
          <t>Microsoft Office User:</t>
        </r>
        <r>
          <rPr>
            <sz val="10"/>
            <color rgb="FF000000"/>
            <rFont val="Tahoma"/>
            <family val="2"/>
          </rPr>
          <t xml:space="preserve">
</t>
        </r>
        <r>
          <rPr>
            <sz val="10"/>
            <color rgb="FF000000"/>
            <rFont val="Tahoma"/>
            <family val="2"/>
          </rPr>
          <t>Year in which same maturity level as SMR (commercial, large-scale stage)</t>
        </r>
      </text>
    </comment>
    <comment ref="F24" authorId="0" shapeId="0" xr:uid="{805FA073-65DF-0144-B62F-172D5972230C}">
      <text>
        <r>
          <rPr>
            <b/>
            <sz val="10"/>
            <color rgb="FF000000"/>
            <rFont val="Tahoma"/>
            <family val="2"/>
          </rPr>
          <t>Microsoft Office User:</t>
        </r>
        <r>
          <rPr>
            <sz val="10"/>
            <color rgb="FF000000"/>
            <rFont val="Tahoma"/>
            <family val="2"/>
          </rPr>
          <t xml:space="preserve">
</t>
        </r>
        <r>
          <rPr>
            <sz val="10"/>
            <color rgb="FF000000"/>
            <rFont val="Calibri"/>
            <family val="2"/>
          </rPr>
          <t xml:space="preserve">User can override here with average gas cost throughout whole length of the project, or overwrite with annual value in Data prod sheet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Dogliani Pietro</author>
    <author>Microsoft Office User</author>
  </authors>
  <commentList>
    <comment ref="AU10" authorId="0" shapeId="0" xr:uid="{AEC702AA-8D78-45EB-B9FB-E2965CC9098F}">
      <text>
        <r>
          <rPr>
            <b/>
            <sz val="9"/>
            <color rgb="FF000000"/>
            <rFont val="Tahoma"/>
            <family val="2"/>
          </rPr>
          <t>Dogliani Pietro:</t>
        </r>
        <r>
          <rPr>
            <sz val="9"/>
            <color rgb="FF000000"/>
            <rFont val="Tahoma"/>
            <family val="2"/>
          </rPr>
          <t xml:space="preserve">
</t>
        </r>
        <r>
          <rPr>
            <sz val="9"/>
            <color rgb="FF000000"/>
            <rFont val="Tahoma"/>
            <family val="2"/>
          </rPr>
          <t xml:space="preserve">13.46 in more optimistic scenario, according to Smith et al., 2021
</t>
        </r>
        <r>
          <rPr>
            <sz val="9"/>
            <color rgb="FF000000"/>
            <rFont val="Tahoma"/>
            <family val="2"/>
          </rPr>
          <t xml:space="preserve"> </t>
        </r>
      </text>
    </comment>
    <comment ref="Y13" authorId="0" shapeId="0" xr:uid="{2C5DFDF2-AEA1-437A-94BF-F2630B7F9F75}">
      <text>
        <r>
          <rPr>
            <b/>
            <sz val="9"/>
            <color indexed="81"/>
            <rFont val="Tahoma"/>
            <family val="2"/>
          </rPr>
          <t>Dogliani Pietro:</t>
        </r>
        <r>
          <rPr>
            <sz val="9"/>
            <color indexed="81"/>
            <rFont val="Tahoma"/>
            <family val="2"/>
          </rPr>
          <t xml:space="preserve">
Nominal discount rate</t>
        </r>
      </text>
    </comment>
    <comment ref="S20" authorId="0" shapeId="0" xr:uid="{13CEF2B7-5FDE-4356-A702-8254166821D5}">
      <text>
        <r>
          <rPr>
            <b/>
            <sz val="9"/>
            <color indexed="81"/>
            <rFont val="Tahoma"/>
            <family val="2"/>
          </rPr>
          <t>Dogliani Pietro:</t>
        </r>
        <r>
          <rPr>
            <sz val="9"/>
            <color indexed="81"/>
            <rFont val="Tahoma"/>
            <family val="2"/>
          </rPr>
          <t xml:space="preserve">
Nominal discount rate</t>
        </r>
      </text>
    </comment>
    <comment ref="G22" authorId="0" shapeId="0" xr:uid="{5C6DAEBB-9A25-4B75-A2B0-89D4DA2123D5}">
      <text>
        <r>
          <rPr>
            <b/>
            <sz val="9"/>
            <color indexed="81"/>
            <rFont val="Tahoma"/>
            <family val="2"/>
          </rPr>
          <t>Dogliani Pietro:</t>
        </r>
        <r>
          <rPr>
            <sz val="9"/>
            <color indexed="81"/>
            <rFont val="Tahoma"/>
            <family val="2"/>
          </rPr>
          <t xml:space="preserve">
Nominal value</t>
        </r>
      </text>
    </comment>
    <comment ref="I26" authorId="1" shapeId="0" xr:uid="{01BC6747-0590-BA4B-ABCF-70387EDA50AD}">
      <text>
        <r>
          <rPr>
            <b/>
            <sz val="10"/>
            <color rgb="FF000000"/>
            <rFont val="Tahoma"/>
            <family val="2"/>
          </rPr>
          <t>Microsoft Office User:</t>
        </r>
        <r>
          <rPr>
            <sz val="10"/>
            <color rgb="FF000000"/>
            <rFont val="Tahoma"/>
            <family val="2"/>
          </rPr>
          <t xml:space="preserve">
</t>
        </r>
        <r>
          <rPr>
            <sz val="10"/>
            <color rgb="FF000000"/>
            <rFont val="Tahoma"/>
            <family val="2"/>
          </rPr>
          <t>Assumption, based on IRENA, 2020 range, and manufacturer data from Bertuccioli et al., 2014</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tc={3E700BE2-7154-4801-9D90-D6B712D876F6}</author>
    <author>tc={D63A6A57-0B94-41B2-AC77-77C8B51D9144}</author>
    <author>tc={32246353-C485-4BF5-9031-68E81A6376AB}</author>
    <author>tc={DDB16F38-CB21-4AFE-A0A4-94A102F502FE}</author>
    <author>tc={73F3225B-98E2-4299-9353-7D0DEA5A8B40}</author>
    <author>tc={601B8A8A-11AF-4527-98D9-D5F574092A79}</author>
    <author>tc={10524F20-D702-447E-BEF8-BDB1E30F6B06}</author>
    <author>tc={6D718682-101D-41DF-A516-3D5F0E9BCA91}</author>
    <author>tc={FB859E54-C20B-49D7-B0D0-CDFAAD675758}</author>
    <author>tc={A697B2E4-7AAE-4E57-98ED-20DCF5DDD417}</author>
    <author>tc={A2CAB075-C39F-47CD-9122-D5CCB7380BC7}</author>
    <author>tc={C034AFB2-57F2-4EE9-93AA-C39DF6FCBDED}</author>
    <author>tc={36160D5C-EA0E-4ED8-8182-F2576FEAD742}</author>
    <author>tc={326F0C06-450E-467C-9A21-3FB3E957AFC4}</author>
    <author>tc={65B450C5-ABC7-49F0-AA82-9DE0DDAE182E}</author>
    <author>tc={5B7804BC-FE7B-4913-BF13-CA17CA09EF7A}</author>
    <author>tc={463BD98C-F21A-4F4D-AAAE-1189089D2D72}</author>
    <author>tc={922B1CDE-47D6-49B2-8F44-D2D502195D8D}</author>
    <author>tc={098E9D59-CC4E-4894-A01A-007EFE4368FD}</author>
    <author>tc={37CE7FFE-9AC3-416A-A285-71E01181A04B}</author>
    <author>tc={AE90BF19-EC69-4AA4-9E45-7104F468E7B8}</author>
    <author>tc={B9E2A177-9449-4DAB-BA5C-B8004FFDE697}</author>
    <author>tc={730B1184-F1B7-4C78-ACA6-DFDC84712EE7}</author>
    <author>tc={00F48E0C-2493-4886-8A87-751136B21C8E}</author>
    <author>tc={9289B899-9B1E-4EC5-A449-87373B546B2C}</author>
    <author>Dogliani Pietro</author>
    <author>tc={A7BE3EDA-4985-48C4-A44A-A4D6EB412CB7}</author>
    <author>tc={135C684D-B079-4C27-8183-A97D8F411AFC}</author>
    <author>tc={379E3671-7986-4586-A57D-65FFDBBC4A33}</author>
    <author>tc={5AE43F6B-A008-4AEB-B1B0-5888EE65E9B0}</author>
    <author>tc={CB858891-242E-4D53-AC37-AD947695D96C}</author>
    <author>tc={3BCDF08B-3EAF-4AD3-9552-3D8858CE6BDC}</author>
    <author>tc={41BEBFC0-D729-4915-A99E-3F626AE02BD9}</author>
    <author>tc={F9E34D34-548C-43AF-9C2C-332B0C572935}</author>
    <author>tc={2585CB71-9D57-4356-80B3-07F8D9C0B8E4}</author>
    <author>tc={248FDE1C-9419-4CD1-B9BA-D477A0DCB09A}</author>
    <author>tc={F7148E5B-B3EE-4278-9FFF-4658F3A912BA}</author>
    <author>tc={759B93F6-8C25-4E4D-A7AC-2F107EC7F8D3}</author>
    <author>tc={B926EFCD-F430-4DDD-A12A-FB33C7E53981}</author>
    <author>tc={01090629-F087-4E5F-ABBA-96495435C193}</author>
    <author>tc={BDF7E055-0197-4856-815D-5E5FED5F98A1}</author>
    <author>tc={822A4E35-1B19-454F-80AA-AE133B235877}</author>
    <author>tc={4F0B0BE5-35A7-409C-918C-2F386988FBFF}</author>
    <author>tc={7D4C5B55-AB6D-4415-94BF-49548B67983A}</author>
    <author>tc={1B64E8AD-3CA7-43FC-9679-5A99D851F051}</author>
    <author>tc={FF4DD48B-B2C0-4661-8B1E-41880EB460C2}</author>
    <author>tc={07E1F5FD-754F-449E-8797-5A0403C7C894}</author>
    <author>tc={D6308AEF-764A-45E1-A14A-586892B3854B}</author>
  </authors>
  <commentList>
    <comment ref="C8" authorId="0" shapeId="0" xr:uid="{3E700BE2-7154-4801-9D90-D6B712D876F6}">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G8" authorId="1" shapeId="0" xr:uid="{D63A6A57-0B94-41B2-AC77-77C8B51D9144}">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I8" authorId="2" shapeId="0" xr:uid="{32246353-C485-4BF5-9031-68E81A6376AB}">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K8" authorId="3" shapeId="0" xr:uid="{DDB16F38-CB21-4AFE-A0A4-94A102F502FE}">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M8" authorId="4" shapeId="0" xr:uid="{73F3225B-98E2-4299-9353-7D0DEA5A8B40}">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O8" authorId="5" shapeId="0" xr:uid="{601B8A8A-11AF-4527-98D9-D5F574092A79}">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Q8" authorId="6" shapeId="0" xr:uid="{10524F20-D702-447E-BEF8-BDB1E30F6B06}">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S8" authorId="7" shapeId="0" xr:uid="{6D718682-101D-41DF-A516-3D5F0E9BCA91}">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U8" authorId="8" shapeId="0" xr:uid="{FB859E54-C20B-49D7-B0D0-CDFAAD675758}">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W8" authorId="9" shapeId="0" xr:uid="{A697B2E4-7AAE-4E57-98ED-20DCF5DDD417}">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Y8" authorId="10" shapeId="0" xr:uid="{A2CAB075-C39F-47CD-9122-D5CCB7380BC7}">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AA8" authorId="11" shapeId="0" xr:uid="{C034AFB2-57F2-4EE9-93AA-C39DF6FCBDED}">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AC8" authorId="12" shapeId="0" xr:uid="{36160D5C-EA0E-4ED8-8182-F2576FEAD742}">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AE8" authorId="13" shapeId="0" xr:uid="{326F0C06-450E-467C-9A21-3FB3E957AFC4}">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AG8" authorId="14" shapeId="0" xr:uid="{65B450C5-ABC7-49F0-AA82-9DE0DDAE182E}">
      <text>
        <t>[Threaded comment]
Your version of Excel allows you to read this threaded comment; however, any edits to it will get removed if the file is opened in a newer version of Excel. Learn more: https://go.microsoft.com/fwlink/?linkid=870924
Comment:
    The operating pressure is considered to be the average between the maximum and minimum pressures considered for each technology.</t>
      </text>
    </comment>
    <comment ref="A10" authorId="15" shapeId="0" xr:uid="{5B7804BC-FE7B-4913-BF13-CA17CA09EF7A}">
      <text>
        <t>[Threaded comment]
Your version of Excel allows you to read this threaded comment; however, any edits to it will get removed if the file is opened in a newer version of Excel. Learn more: https://go.microsoft.com/fwlink/?linkid=870924
Comment:
    Now, the calculation of density with CoolProp is refering to the pressure and temperature in the sheet "FinalStorage". Maybe this row should be deleted and the CoolProp calculation should be done in the sheet "FinalStorage" directly. Otherwise, it gets a bit confusing.</t>
      </text>
    </comment>
    <comment ref="K14" authorId="16" shapeId="0" xr:uid="{463BD98C-F21A-4F4D-AAAE-1189089D2D72}">
      <text>
        <t>[Threaded comment]
Your version of Excel allows you to read this threaded comment; however, any edits to it will get removed if the file is opened in a newer version of Excel. Learn more: https://go.microsoft.com/fwlink/?linkid=870924
Comment:
    Average of the values given by GIE (50%-60%)</t>
      </text>
    </comment>
    <comment ref="M14" authorId="17" shapeId="0" xr:uid="{922B1CDE-47D6-49B2-8F44-D2D502195D8D}">
      <text>
        <t>[Threaded comment]
Your version of Excel allows you to read this threaded comment; however, any edits to it will get removed if the file is opened in a newer version of Excel. Learn more: https://go.microsoft.com/fwlink/?linkid=870924
Comment:
    Average of the values given by GIE (50%-60%)</t>
      </text>
    </comment>
    <comment ref="O14" authorId="18" shapeId="0" xr:uid="{098E9D59-CC4E-4894-A01A-007EFE4368FD}">
      <text>
        <t>[Threaded comment]
Your version of Excel allows you to read this threaded comment; however, any edits to it will get removed if the file is opened in a newer version of Excel. Learn more: https://go.microsoft.com/fwlink/?linkid=870924
Comment:
    Average of the values given by GIE (50%-60%)</t>
      </text>
    </comment>
    <comment ref="W14" authorId="19" shapeId="0" xr:uid="{37CE7FFE-9AC3-416A-A285-71E01181A04B}">
      <text>
        <t>[Threaded comment]
Your version of Excel allows you to read this threaded comment; however, any edits to it will get removed if the file is opened in a newer version of Excel. Learn more: https://go.microsoft.com/fwlink/?linkid=870924
Comment:
    Average value of all the collected cushion gas ratios.</t>
      </text>
    </comment>
    <comment ref="Y14" authorId="20" shapeId="0" xr:uid="{AE90BF19-EC69-4AA4-9E45-7104F468E7B8}">
      <text>
        <t>[Threaded comment]
Your version of Excel allows you to read this threaded comment; however, any edits to it will get removed if the file is opened in a newer version of Excel. Learn more: https://go.microsoft.com/fwlink/?linkid=870924
Comment:
    Average value of all the collected cushion gas ratios.</t>
      </text>
    </comment>
    <comment ref="AA14" authorId="21" shapeId="0" xr:uid="{B9E2A177-9449-4DAB-BA5C-B8004FFDE697}">
      <text>
        <t>[Threaded comment]
Your version of Excel allows you to read this threaded comment; however, any edits to it will get removed if the file is opened in a newer version of Excel. Learn more: https://go.microsoft.com/fwlink/?linkid=870924
Comment:
    Average value of all the collected cushion gas ratios.</t>
      </text>
    </comment>
    <comment ref="AC14" authorId="22" shapeId="0" xr:uid="{730B1184-F1B7-4C78-ACA6-DFDC84712EE7}">
      <text>
        <t>[Threaded comment]
Your version of Excel allows you to read this threaded comment; however, any edits to it will get removed if the file is opened in a newer version of Excel. Learn more: https://go.microsoft.com/fwlink/?linkid=870924
Comment:
    Average value of all the collected cushion gas ratios.</t>
      </text>
    </comment>
    <comment ref="AE14" authorId="23" shapeId="0" xr:uid="{00F48E0C-2493-4886-8A87-751136B21C8E}">
      <text>
        <t>[Threaded comment]
Your version of Excel allows you to read this threaded comment; however, any edits to it will get removed if the file is opened in a newer version of Excel. Learn more: https://go.microsoft.com/fwlink/?linkid=870924
Comment:
    Average value of all the collected cushion gas ratios.</t>
      </text>
    </comment>
    <comment ref="AG14" authorId="24" shapeId="0" xr:uid="{9289B899-9B1E-4EC5-A449-87373B546B2C}">
      <text>
        <t>[Threaded comment]
Your version of Excel allows you to read this threaded comment; however, any edits to it will get removed if the file is opened in a newer version of Excel. Learn more: https://go.microsoft.com/fwlink/?linkid=870924
Comment:
    Average value of all the collected cushion gas ratios.</t>
      </text>
    </comment>
    <comment ref="A17" authorId="25" shapeId="0" xr:uid="{5782163B-CA40-48DB-987F-E31341B15CCF}">
      <text>
        <r>
          <rPr>
            <b/>
            <sz val="9"/>
            <color indexed="81"/>
            <rFont val="Tahoma"/>
            <family val="2"/>
          </rPr>
          <t>Dogliani Pietro:</t>
        </r>
        <r>
          <rPr>
            <sz val="9"/>
            <color indexed="81"/>
            <rFont val="Tahoma"/>
            <family val="2"/>
          </rPr>
          <t xml:space="preserve">
Nominal discount rate</t>
        </r>
      </text>
    </comment>
    <comment ref="W18" authorId="26" shapeId="0" xr:uid="{A7BE3EDA-4985-48C4-A44A-A4D6EB412CB7}">
      <text>
        <t>[Threaded comment]
Your version of Excel allows you to read this threaded comment; however, any edits to it will get removed if the file is opened in a newer version of Excel. Learn more: https://go.microsoft.com/fwlink/?linkid=870924
Comment:
    Average scaling factor from collected data</t>
      </text>
    </comment>
    <comment ref="Y18" authorId="27" shapeId="0" xr:uid="{135C684D-B079-4C27-8183-A97D8F411AFC}">
      <text>
        <t>[Threaded comment]
Your version of Excel allows you to read this threaded comment; however, any edits to it will get removed if the file is opened in a newer version of Excel. Learn more: https://go.microsoft.com/fwlink/?linkid=870924
Comment:
    Average scaling factor from collected data</t>
      </text>
    </comment>
    <comment ref="AA18" authorId="28" shapeId="0" xr:uid="{379E3671-7986-4586-A57D-65FFDBBC4A33}">
      <text>
        <t>[Threaded comment]
Your version of Excel allows you to read this threaded comment; however, any edits to it will get removed if the file is opened in a newer version of Excel. Learn more: https://go.microsoft.com/fwlink/?linkid=870924
Comment:
    Average scaling factor from collected data</t>
      </text>
    </comment>
    <comment ref="K20" authorId="29" shapeId="0" xr:uid="{5AE43F6B-A008-4AEB-B1B0-5888EE65E9B0}">
      <text>
        <t>[Threaded comment]
Your version of Excel allows you to read this threaded comment; however, any edits to it will get removed if the file is opened in a newer version of Excel. Learn more: https://go.microsoft.com/fwlink/?linkid=870924
Comment:
    Obtained from collected data</t>
      </text>
    </comment>
    <comment ref="M20" authorId="30" shapeId="0" xr:uid="{CB858891-242E-4D53-AC37-AD947695D96C}">
      <text>
        <t>[Threaded comment]
Your version of Excel allows you to read this threaded comment; however, any edits to it will get removed if the file is opened in a newer version of Excel. Learn more: https://go.microsoft.com/fwlink/?linkid=870924
Comment:
    Obtained from collected data</t>
      </text>
    </comment>
    <comment ref="O20" authorId="31" shapeId="0" xr:uid="{3BCDF08B-3EAF-4AD3-9552-3D8858CE6BDC}">
      <text>
        <t>[Threaded comment]
Your version of Excel allows you to read this threaded comment; however, any edits to it will get removed if the file is opened in a newer version of Excel. Learn more: https://go.microsoft.com/fwlink/?linkid=870924
Comment:
    Obtained from collected data</t>
      </text>
    </comment>
    <comment ref="W20" authorId="32" shapeId="0" xr:uid="{41BEBFC0-D729-4915-A99E-3F626AE02BD9}">
      <text>
        <t>[Threaded comment]
Your version of Excel allows you to read this threaded comment; however, any edits to it will get removed if the file is opened in a newer version of Excel. Learn more: https://go.microsoft.com/fwlink/?linkid=870924
Comment:
    Determined from collected data</t>
      </text>
    </comment>
    <comment ref="Y20" authorId="33" shapeId="0" xr:uid="{F9E34D34-548C-43AF-9C2C-332B0C572935}">
      <text>
        <t>[Threaded comment]
Your version of Excel allows you to read this threaded comment; however, any edits to it will get removed if the file is opened in a newer version of Excel. Learn more: https://go.microsoft.com/fwlink/?linkid=870924
Comment:
    Determined from collected data</t>
      </text>
    </comment>
    <comment ref="AA20" authorId="34" shapeId="0" xr:uid="{2585CB71-9D57-4356-80B3-07F8D9C0B8E4}">
      <text>
        <t>[Threaded comment]
Your version of Excel allows you to read this threaded comment; however, any edits to it will get removed if the file is opened in a newer version of Excel. Learn more: https://go.microsoft.com/fwlink/?linkid=870924
Comment:
    Determined from collected data</t>
      </text>
    </comment>
    <comment ref="C21" authorId="35" shapeId="0" xr:uid="{248FDE1C-9419-4CD1-B9BA-D477A0DCB09A}">
      <text>
        <t>[Threaded comment]
Your version of Excel allows you to read this threaded comment; however, any edits to it will get removed if the file is opened in a newer version of Excel. Learn more: https://go.microsoft.com/fwlink/?linkid=870924
Comment:
    Density=m/V; m=25kg;
H2 Density (T=25ºC, p=160bar) = 11.854 kg/m3</t>
      </text>
    </comment>
    <comment ref="E21" authorId="36" shapeId="0" xr:uid="{F7148E5B-B3EE-4278-9FFF-4658F3A912BA}">
      <text>
        <t>[Threaded comment]
Your version of Excel allows you to read this threaded comment; however, any edits to it will get removed if the file is opened in a newer version of Excel. Learn more: https://go.microsoft.com/fwlink/?linkid=870924
Comment:
    Density=m/V; m=25kg;
H2 Density (T=25ºC, p=160bar) = 11.854 kg/m3</t>
      </text>
    </comment>
    <comment ref="G21" authorId="37" shapeId="0" xr:uid="{759B93F6-8C25-4E4D-A7AC-2F107EC7F8D3}">
      <text>
        <t>[Threaded comment]
Your version of Excel allows you to read this threaded comment; however, any edits to it will get removed if the file is opened in a newer version of Excel. Learn more: https://go.microsoft.com/fwlink/?linkid=870924
Comment:
    Density=m/V; m=25kg;
H2 Density (T=25ºC, p=160bar) = 11.854 kg/m3</t>
      </text>
    </comment>
    <comment ref="I21" authorId="38" shapeId="0" xr:uid="{B926EFCD-F430-4DDD-A12A-FB33C7E53981}">
      <text>
        <t>[Threaded comment]
Your version of Excel allows you to read this threaded comment; however, any edits to it will get removed if the file is opened in a newer version of Excel. Learn more: https://go.microsoft.com/fwlink/?linkid=870924
Comment:
    Density=m/V; m=25kg;
H2 Density (T=25ºC, p=160bar) = 11.854 kg/m3</t>
      </text>
    </comment>
    <comment ref="K22" authorId="39" shapeId="0" xr:uid="{01090629-F087-4E5F-ABBA-96495435C193}">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M22" authorId="40" shapeId="0" xr:uid="{BDF7E055-0197-4856-815D-5E5FED5F98A1}">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O22" authorId="41" shapeId="0" xr:uid="{822A4E35-1B19-454F-80AA-AE133B235877}">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Q22" authorId="42" shapeId="0" xr:uid="{4F0B0BE5-35A7-409C-918C-2F386988FBFF}">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S22" authorId="43" shapeId="0" xr:uid="{7D4C5B55-AB6D-4415-94BF-49548B67983A}">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U22" authorId="44" shapeId="0" xr:uid="{1B64E8AD-3CA7-43FC-9679-5A99D851F051}">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W22" authorId="45" shapeId="0" xr:uid="{FF4DD48B-B2C0-4661-8B1E-41880EB460C2}">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Y22" authorId="46" shapeId="0" xr:uid="{07E1F5FD-754F-449E-8797-5A0403C7C894}">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 ref="AA22" authorId="47" shapeId="0" xr:uid="{D6308AEF-764A-45E1-A14A-586892B3854B}">
      <text>
        <t>[Threaded comment]
Your version of Excel allows you to read this threaded comment; however, any edits to it will get removed if the file is opened in a newer version of Excel. Learn more: https://go.microsoft.com/fwlink/?linkid=870924
Comment:
    Average pressure between the maximum and minimum pressure of the specific geological reservoir considered.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Dogliani Pietro</author>
    <author>Microsoft Office User</author>
  </authors>
  <commentList>
    <comment ref="AA10" authorId="0" shapeId="0" xr:uid="{D613028B-2C57-4A61-8CA5-BAD3794F0B29}">
      <text>
        <r>
          <rPr>
            <b/>
            <sz val="9"/>
            <color indexed="81"/>
            <rFont val="Tahoma"/>
            <family val="2"/>
          </rPr>
          <t>Dogliani Pietro:</t>
        </r>
        <r>
          <rPr>
            <sz val="9"/>
            <color indexed="81"/>
            <rFont val="Tahoma"/>
            <family val="2"/>
          </rPr>
          <t xml:space="preserve">
Nominal discount rate</t>
        </r>
      </text>
    </comment>
    <comment ref="AC13" authorId="1" shapeId="0" xr:uid="{D2354C55-A7F5-214B-BAB5-E9FBBBA7A443}">
      <text>
        <r>
          <rPr>
            <b/>
            <sz val="10"/>
            <color rgb="FF000000"/>
            <rFont val="Tahoma"/>
            <family val="2"/>
          </rPr>
          <t>Microsoft Office User:</t>
        </r>
        <r>
          <rPr>
            <sz val="10"/>
            <color rgb="FF000000"/>
            <rFont val="Tahoma"/>
            <family val="2"/>
          </rPr>
          <t xml:space="preserve">
</t>
        </r>
        <r>
          <rPr>
            <sz val="10"/>
            <color rgb="FF000000"/>
            <rFont val="Tahoma"/>
            <family val="2"/>
          </rPr>
          <t>5000 cycles</t>
        </r>
      </text>
    </comment>
    <comment ref="C14" authorId="0" shapeId="0" xr:uid="{A2A3F650-42A5-436E-ADB0-9875B81CA4A3}">
      <text>
        <r>
          <rPr>
            <b/>
            <sz val="9"/>
            <color indexed="81"/>
            <rFont val="Tahoma"/>
            <family val="2"/>
          </rPr>
          <t>Dogliani Pietro:</t>
        </r>
        <r>
          <rPr>
            <sz val="9"/>
            <color indexed="81"/>
            <rFont val="Tahoma"/>
            <family val="2"/>
          </rPr>
          <t xml:space="preserve">
Nominal discount rate</t>
        </r>
      </text>
    </comment>
    <comment ref="O14" authorId="0" shapeId="0" xr:uid="{E7F3921B-9847-4F3D-A846-9AFBF4EC0A60}">
      <text>
        <r>
          <rPr>
            <b/>
            <sz val="9"/>
            <color indexed="81"/>
            <rFont val="Tahoma"/>
            <family val="2"/>
          </rPr>
          <t>Dogliani Pietro:</t>
        </r>
        <r>
          <rPr>
            <sz val="9"/>
            <color indexed="81"/>
            <rFont val="Tahoma"/>
            <family val="2"/>
          </rPr>
          <t xml:space="preserve">
Nominal discount rate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tc={01217CF1-C502-B34F-A659-4CEB61992139}</author>
  </authors>
  <commentList>
    <comment ref="B35" authorId="0" shapeId="0" xr:uid="{01217CF1-C502-B34F-A659-4CEB61992139}">
      <text>
        <t>[Threaded comment]
Your version of Excel allows you to read this threaded comment; however, any edits to it will get removed if the file is opened in a newer version of Excel. Learn more: https://go.microsoft.com/fwlink/?linkid=870924
Comment:
    Add formula</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tc={BC50AD3A-0D0F-4F03-8303-49B2D48147EB}</author>
  </authors>
  <commentList>
    <comment ref="L11" authorId="0" shapeId="0" xr:uid="{BC50AD3A-0D0F-4F03-8303-49B2D48147EB}">
      <text>
        <t>[Threaded comment]
Your version of Excel allows you to read this threaded comment; however, any edits to it will get removed if the file is opened in a newer version of Excel. Learn more: https://go.microsoft.com/fwlink/?linkid=870924
Comment:
    This cell doesn't update when the user overrides the value of liq. plant capacity</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Dogliani Pietro</author>
    <author>tc={2CEE5245-DAB6-4843-ABC3-EA00B8274F97}</author>
  </authors>
  <commentList>
    <comment ref="AI9" authorId="0" shapeId="0" xr:uid="{FDFB19BD-D82C-40E8-BC0D-1C5987664F45}">
      <text>
        <r>
          <rPr>
            <b/>
            <sz val="9"/>
            <color indexed="81"/>
            <rFont val="Tahoma"/>
            <family val="2"/>
          </rPr>
          <t>Dogliani Pietro:</t>
        </r>
        <r>
          <rPr>
            <sz val="9"/>
            <color indexed="81"/>
            <rFont val="Tahoma"/>
            <family val="2"/>
          </rPr>
          <t xml:space="preserve">
Nominal discount rate</t>
        </r>
      </text>
    </comment>
    <comment ref="AQ9" authorId="0" shapeId="0" xr:uid="{72341EDF-D371-419E-836F-458BB3BA55C3}">
      <text>
        <r>
          <rPr>
            <b/>
            <sz val="9"/>
            <color indexed="81"/>
            <rFont val="Tahoma"/>
            <family val="2"/>
          </rPr>
          <t>Dogliani Pietro:</t>
        </r>
        <r>
          <rPr>
            <sz val="9"/>
            <color indexed="81"/>
            <rFont val="Tahoma"/>
            <family val="2"/>
          </rPr>
          <t xml:space="preserve">
Nominal discount rate</t>
        </r>
      </text>
    </comment>
    <comment ref="O10" authorId="1" shapeId="0" xr:uid="{2CEE5245-DAB6-4843-ABC3-EA00B8274F97}">
      <text>
        <t>[Threaded comment]
Your version of Excel allows you to read this threaded comment; however, any edits to it will get removed if the file is opened in a newer version of Excel. Learn more: https://go.microsoft.com/fwlink/?linkid=870924
Comment:
    Either connnected to "transmission by land" or "final storage".</t>
      </text>
    </comment>
    <comment ref="AW10" authorId="0" shapeId="0" xr:uid="{EAB58B5B-BD49-415D-AC67-4DAD2CA49A71}">
      <text>
        <r>
          <rPr>
            <b/>
            <sz val="9"/>
            <color indexed="81"/>
            <rFont val="Tahoma"/>
            <family val="2"/>
          </rPr>
          <t>Dogliani Pietro:</t>
        </r>
        <r>
          <rPr>
            <sz val="9"/>
            <color indexed="81"/>
            <rFont val="Tahoma"/>
            <family val="2"/>
          </rPr>
          <t xml:space="preserve">
Nominal discount rate</t>
        </r>
      </text>
    </comment>
    <comment ref="BC11" authorId="0" shapeId="0" xr:uid="{13C40793-EC1B-4CC4-9123-DAD7F45CC804}">
      <text>
        <r>
          <rPr>
            <b/>
            <sz val="9"/>
            <color indexed="81"/>
            <rFont val="Tahoma"/>
            <family val="2"/>
          </rPr>
          <t>Dogliani Pietro:</t>
        </r>
        <r>
          <rPr>
            <sz val="9"/>
            <color indexed="81"/>
            <rFont val="Tahoma"/>
            <family val="2"/>
          </rPr>
          <t xml:space="preserve">
Nominal discount rate</t>
        </r>
      </text>
    </comment>
    <comment ref="A17" authorId="0" shapeId="0" xr:uid="{3F41B201-B6B1-4166-8E96-259CA58AE1C1}">
      <text>
        <r>
          <rPr>
            <b/>
            <sz val="9"/>
            <color indexed="81"/>
            <rFont val="Tahoma"/>
            <family val="2"/>
          </rPr>
          <t>Dogliani Pietro:</t>
        </r>
        <r>
          <rPr>
            <sz val="9"/>
            <color indexed="81"/>
            <rFont val="Tahoma"/>
            <family val="2"/>
          </rPr>
          <t xml:space="preserve">
Nominal discount rate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<sst xmlns="http://schemas.openxmlformats.org/spreadsheetml/2006/main" count="3976" uniqueCount="1316">
  <si>
    <t>LEGEND</t>
  </si>
  <si>
    <t>User input</t>
  </si>
  <si>
    <t>Insert/select/override</t>
  </si>
  <si>
    <t>Tool output</t>
  </si>
  <si>
    <t>Don't edit/override</t>
  </si>
  <si>
    <t>Partial result</t>
  </si>
  <si>
    <r>
      <t>Final result (LCOH</t>
    </r>
    <r>
      <rPr>
        <vertAlign val="subscript"/>
        <sz val="12"/>
        <color theme="1"/>
        <rFont val="Calibri (Body)"/>
      </rPr>
      <t>x</t>
    </r>
    <r>
      <rPr>
        <sz val="12"/>
        <color theme="1"/>
        <rFont val="Calibri"/>
        <family val="2"/>
        <scheme val="minor"/>
      </rPr>
      <t>)</t>
    </r>
  </si>
  <si>
    <t>General input</t>
  </si>
  <si>
    <t>PRODUCTION</t>
  </si>
  <si>
    <t>TRANSMISSION</t>
  </si>
  <si>
    <t>DISTRIBUTION</t>
  </si>
  <si>
    <t>STORAGE</t>
  </si>
  <si>
    <t xml:space="preserve"> Select YEAR</t>
  </si>
  <si>
    <t>Select DESTINATION COUNTRY</t>
  </si>
  <si>
    <t>Select PRODUCTION LOCATION</t>
  </si>
  <si>
    <t>Select PRODUCTION METHOD</t>
  </si>
  <si>
    <t>Select TR. MODE by SEA</t>
  </si>
  <si>
    <t>Select TR. MODE by LAND</t>
  </si>
  <si>
    <t>Select DISTR. MODE</t>
  </si>
  <si>
    <t>FINAL STORAGE?</t>
  </si>
  <si>
    <t>Select H2 FINAL STATE</t>
  </si>
  <si>
    <t>Germany</t>
  </si>
  <si>
    <t>Qatar</t>
  </si>
  <si>
    <t>Pyrolysis</t>
  </si>
  <si>
    <t>Ship</t>
  </si>
  <si>
    <t>Pipeline</t>
  </si>
  <si>
    <t>Yes</t>
  </si>
  <si>
    <t>gH2</t>
  </si>
  <si>
    <t>H2 carrier selection: AUTOMATIC or MANUAL?</t>
  </si>
  <si>
    <t>CoolProp can be used in the tool to have a better approximation of the different fluid properties and can be download at the link</t>
  </si>
  <si>
    <t>Plant capacity: [kW]</t>
  </si>
  <si>
    <t>Override: [kW]</t>
  </si>
  <si>
    <t>LH2</t>
  </si>
  <si>
    <t>New</t>
  </si>
  <si>
    <t>Use CoolProp?</t>
  </si>
  <si>
    <t>No</t>
  </si>
  <si>
    <r>
      <rPr>
        <b/>
        <u/>
        <sz val="16"/>
        <color rgb="FFFF0000"/>
        <rFont val="Calibri (Body)"/>
      </rPr>
      <t>OBS</t>
    </r>
    <r>
      <rPr>
        <b/>
        <sz val="16"/>
        <color rgb="FFFF0000"/>
        <rFont val="Calibri"/>
        <family val="2"/>
        <scheme val="minor"/>
      </rPr>
      <t>: To design a new supply pathway, check and select every option (in red) in this table -&gt; Excel does not update the toggle lists!</t>
    </r>
  </si>
  <si>
    <t>Natural gas</t>
  </si>
  <si>
    <t>Override below [km]</t>
  </si>
  <si>
    <t>Automatic</t>
  </si>
  <si>
    <t>Tank - Type I</t>
  </si>
  <si>
    <t>LCOH:</t>
  </si>
  <si>
    <t>OVERALL</t>
  </si>
  <si>
    <r>
      <t xml:space="preserve">TRANSMISSION AND DISTRIBUTION </t>
    </r>
    <r>
      <rPr>
        <sz val="12"/>
        <color theme="1"/>
        <rFont val="Calibri"/>
        <family val="2"/>
        <scheme val="minor"/>
      </rPr>
      <t>(without int. storage)</t>
    </r>
  </si>
  <si>
    <t>INTERMEDIATE STORAGE</t>
  </si>
  <si>
    <t>FINAL STORAGE</t>
  </si>
  <si>
    <t>FINAL CONVERSION</t>
  </si>
  <si>
    <t>Excel might not automatically update the CoolProp location at the first use on a new device.</t>
  </si>
  <si>
    <t>Click here to update CoolProp links</t>
  </si>
  <si>
    <t>RESULTS</t>
  </si>
  <si>
    <r>
      <t>LCOH</t>
    </r>
    <r>
      <rPr>
        <b/>
        <vertAlign val="subscript"/>
        <sz val="14"/>
        <color theme="1"/>
        <rFont val="Calibri (Body)"/>
      </rPr>
      <t>overall</t>
    </r>
    <r>
      <rPr>
        <b/>
        <sz val="14"/>
        <color theme="1"/>
        <rFont val="Calibri"/>
        <family val="2"/>
        <scheme val="minor"/>
      </rPr>
      <t xml:space="preserve"> [€/kg]</t>
    </r>
  </si>
  <si>
    <t>Selected year</t>
  </si>
  <si>
    <r>
      <t>LCOH</t>
    </r>
    <r>
      <rPr>
        <vertAlign val="subscript"/>
        <sz val="14"/>
        <color theme="1"/>
        <rFont val="Calibri (Body)"/>
      </rPr>
      <t>prod</t>
    </r>
    <r>
      <rPr>
        <sz val="14"/>
        <color theme="1"/>
        <rFont val="Calibri"/>
        <family val="2"/>
        <scheme val="minor"/>
      </rPr>
      <t xml:space="preserve"> [€/kg]</t>
    </r>
  </si>
  <si>
    <r>
      <t>LCOH</t>
    </r>
    <r>
      <rPr>
        <vertAlign val="subscript"/>
        <sz val="14"/>
        <color theme="1"/>
        <rFont val="Calibri (Body)"/>
      </rPr>
      <t>T&amp;D, w/out conv</t>
    </r>
    <r>
      <rPr>
        <sz val="14"/>
        <color theme="1"/>
        <rFont val="Calibri"/>
        <family val="2"/>
        <scheme val="minor"/>
      </rPr>
      <t xml:space="preserve"> [€/kg]</t>
    </r>
  </si>
  <si>
    <r>
      <t xml:space="preserve">T&amp;D </t>
    </r>
    <r>
      <rPr>
        <sz val="12"/>
        <color theme="1"/>
        <rFont val="Calibri"/>
        <family val="2"/>
        <scheme val="minor"/>
      </rPr>
      <t>(w/out conv)</t>
    </r>
  </si>
  <si>
    <r>
      <t>LCOH</t>
    </r>
    <r>
      <rPr>
        <vertAlign val="subscript"/>
        <sz val="14"/>
        <color theme="1"/>
        <rFont val="Calibri (Body)"/>
      </rPr>
      <t>stor, w/out conv</t>
    </r>
    <r>
      <rPr>
        <sz val="14"/>
        <color theme="1"/>
        <rFont val="Calibri"/>
        <family val="2"/>
        <scheme val="minor"/>
      </rPr>
      <t xml:space="preserve"> [€/kg]</t>
    </r>
  </si>
  <si>
    <r>
      <t xml:space="preserve">STORAGE </t>
    </r>
    <r>
      <rPr>
        <sz val="12"/>
        <color theme="1"/>
        <rFont val="Calibri"/>
        <family val="2"/>
        <scheme val="minor"/>
      </rPr>
      <t>(w/out conv)</t>
    </r>
  </si>
  <si>
    <r>
      <t>LCOH</t>
    </r>
    <r>
      <rPr>
        <vertAlign val="subscript"/>
        <sz val="14"/>
        <color theme="1"/>
        <rFont val="Calibri (Body)"/>
      </rPr>
      <t>conv</t>
    </r>
    <r>
      <rPr>
        <sz val="14"/>
        <color theme="1"/>
        <rFont val="Calibri"/>
        <family val="2"/>
        <scheme val="minor"/>
      </rPr>
      <t xml:space="preserve"> [€/kg]</t>
    </r>
  </si>
  <si>
    <t>(RE)CONVERSIONS</t>
  </si>
  <si>
    <t>[bar]</t>
  </si>
  <si>
    <t>Vector</t>
  </si>
  <si>
    <r>
      <t>p</t>
    </r>
    <r>
      <rPr>
        <vertAlign val="subscript"/>
        <sz val="12"/>
        <color theme="1"/>
        <rFont val="Calibri (Body)"/>
      </rPr>
      <t>output</t>
    </r>
  </si>
  <si>
    <t>Production</t>
  </si>
  <si>
    <t>Export terminal</t>
  </si>
  <si>
    <t>Import terminal</t>
  </si>
  <si>
    <t>Final storage</t>
  </si>
  <si>
    <t>End-use state</t>
  </si>
  <si>
    <t>SUMMARY OF MAIN INPUT AND RESULTS, STAGE BY STAGE</t>
  </si>
  <si>
    <t>Production options available:</t>
  </si>
  <si>
    <t>Year:</t>
  </si>
  <si>
    <t>Option No.</t>
  </si>
  <si>
    <t>Electricity source</t>
  </si>
  <si>
    <t>Additional comments</t>
  </si>
  <si>
    <t>Production location:</t>
  </si>
  <si>
    <t>Production method:</t>
  </si>
  <si>
    <t>[€/kg]</t>
  </si>
  <si>
    <r>
      <t>LCOH</t>
    </r>
    <r>
      <rPr>
        <b/>
        <vertAlign val="subscript"/>
        <sz val="14"/>
        <color theme="1"/>
        <rFont val="Calibri (Body)"/>
      </rPr>
      <t>prod</t>
    </r>
    <r>
      <rPr>
        <b/>
        <sz val="14"/>
        <color theme="1"/>
        <rFont val="Calibri"/>
        <family val="2"/>
        <scheme val="minor"/>
      </rPr>
      <t xml:space="preserve"> [€/kg]</t>
    </r>
  </si>
  <si>
    <t>Breakdown:</t>
  </si>
  <si>
    <t>SELECTED OPTION</t>
  </si>
  <si>
    <t>H2 production method:</t>
  </si>
  <si>
    <t>Plant capacity [kW]</t>
  </si>
  <si>
    <t>Nominal annual production [tpa]</t>
  </si>
  <si>
    <t>TRANSPORTATION</t>
  </si>
  <si>
    <t>Transmission</t>
  </si>
  <si>
    <t>Select H2 ARRIVAL HUB</t>
  </si>
  <si>
    <t>Border/Harbor</t>
  </si>
  <si>
    <t>Transmission options available:</t>
  </si>
  <si>
    <t xml:space="preserve">Destination country: </t>
  </si>
  <si>
    <t>Transmission by sea</t>
  </si>
  <si>
    <t>Transmission by land</t>
  </si>
  <si>
    <t xml:space="preserve">Total distance: </t>
  </si>
  <si>
    <t xml:space="preserve">H2 carrier: </t>
  </si>
  <si>
    <r>
      <t>LCOH</t>
    </r>
    <r>
      <rPr>
        <b/>
        <vertAlign val="subscript"/>
        <sz val="14"/>
        <color theme="1"/>
        <rFont val="Calibri (Body)"/>
      </rPr>
      <t>transm</t>
    </r>
    <r>
      <rPr>
        <b/>
        <sz val="14"/>
        <color theme="1"/>
        <rFont val="Calibri"/>
        <family val="2"/>
        <scheme val="minor"/>
      </rPr>
      <t xml:space="preserve"> [€/kg]</t>
    </r>
  </si>
  <si>
    <t>Option</t>
  </si>
  <si>
    <t>Route distance [km]</t>
  </si>
  <si>
    <t>Selected distance [km]</t>
  </si>
  <si>
    <t>Sea transportation [€/kg]</t>
  </si>
  <si>
    <t>By sea</t>
  </si>
  <si>
    <t>Land transportation [€/kg]</t>
  </si>
  <si>
    <t>By land</t>
  </si>
  <si>
    <t>H2 CARRIER, Tr. by sea</t>
  </si>
  <si>
    <t>H2 CARRIER, Tr. by land</t>
  </si>
  <si>
    <t>Distribution</t>
  </si>
  <si>
    <t>Distribution options available:</t>
  </si>
  <si>
    <t>Truck</t>
  </si>
  <si>
    <r>
      <t>LCOH</t>
    </r>
    <r>
      <rPr>
        <b/>
        <vertAlign val="subscript"/>
        <sz val="14"/>
        <color theme="1"/>
        <rFont val="Calibri (Body)"/>
      </rPr>
      <t>distr</t>
    </r>
    <r>
      <rPr>
        <b/>
        <sz val="14"/>
        <color theme="1"/>
        <rFont val="Calibri"/>
        <family val="2"/>
        <scheme val="minor"/>
      </rPr>
      <t xml:space="preserve"> [€/kg]</t>
    </r>
  </si>
  <si>
    <t>Default distance [km]</t>
  </si>
  <si>
    <t>Distribution [€/kg]</t>
  </si>
  <si>
    <t>H2 CARRIER</t>
  </si>
  <si>
    <t>Intermediate storage</t>
  </si>
  <si>
    <t>SELECTED OPTION - EXPORT TERMINAL</t>
  </si>
  <si>
    <t>Change default values</t>
  </si>
  <si>
    <r>
      <t>LCOH</t>
    </r>
    <r>
      <rPr>
        <b/>
        <vertAlign val="subscript"/>
        <sz val="14"/>
        <color theme="1"/>
        <rFont val="Calibri (Body)"/>
      </rPr>
      <t>int.stor</t>
    </r>
    <r>
      <rPr>
        <b/>
        <sz val="14"/>
        <color theme="1"/>
        <rFont val="Calibri"/>
        <family val="2"/>
        <scheme val="minor"/>
      </rPr>
      <t xml:space="preserve"> [€/kg]</t>
    </r>
  </si>
  <si>
    <t>SELECTED OPTION - IMPORT TERMINAL</t>
  </si>
  <si>
    <t>Import terminal [€/kg]</t>
  </si>
  <si>
    <t>Export terminal [€/kg]</t>
  </si>
  <si>
    <t>H2 carrier:</t>
  </si>
  <si>
    <t xml:space="preserve">Country: </t>
  </si>
  <si>
    <t>Storage type:</t>
  </si>
  <si>
    <r>
      <t>LCOH</t>
    </r>
    <r>
      <rPr>
        <b/>
        <vertAlign val="subscript"/>
        <sz val="14"/>
        <color theme="1"/>
        <rFont val="Calibri (Body)"/>
      </rPr>
      <t>stor</t>
    </r>
    <r>
      <rPr>
        <b/>
        <sz val="14"/>
        <color theme="1"/>
        <rFont val="Calibri"/>
        <family val="2"/>
        <scheme val="minor"/>
      </rPr>
      <t xml:space="preserve"> [€/kg]</t>
    </r>
  </si>
  <si>
    <t>Tank - Type II</t>
  </si>
  <si>
    <t>Tank - Type III</t>
  </si>
  <si>
    <t>Tank - Type IV</t>
  </si>
  <si>
    <t>Geological - Depleted NG or oil reservoir</t>
  </si>
  <si>
    <t>Storage [€/kg]</t>
  </si>
  <si>
    <t>Geological - Salt cavern</t>
  </si>
  <si>
    <t>Compression [€/kg]</t>
  </si>
  <si>
    <t>Geological - Lined rock cavern</t>
  </si>
  <si>
    <t>Geological - Aquifer</t>
  </si>
  <si>
    <t>FINAL HYDROGEN STATE</t>
  </si>
  <si>
    <t>(This stage ensures that every supply chain provides hydrogen in the same form and at the same pressure condition)</t>
  </si>
  <si>
    <t>Default pressure [bar]</t>
  </si>
  <si>
    <t xml:space="preserve">Pressure [bar]: </t>
  </si>
  <si>
    <r>
      <t>LCOH</t>
    </r>
    <r>
      <rPr>
        <b/>
        <vertAlign val="subscript"/>
        <sz val="14"/>
        <color theme="1"/>
        <rFont val="Calibri (Body)"/>
      </rPr>
      <t>end</t>
    </r>
    <r>
      <rPr>
        <b/>
        <sz val="14"/>
        <color theme="1"/>
        <rFont val="Calibri"/>
        <family val="2"/>
        <scheme val="minor"/>
      </rPr>
      <t xml:space="preserve"> [€/kg]</t>
    </r>
  </si>
  <si>
    <t>Reconversion [€/kg]</t>
  </si>
  <si>
    <t>CoolProp LINK UPDATE</t>
  </si>
  <si>
    <t>The links of CoolProp might not be updated. Follow the procedure to update them.</t>
  </si>
  <si>
    <t>Obs: to use CoolProp, the add-in needs to be installed</t>
  </si>
  <si>
    <t>Click here to go to the CoolProp website</t>
  </si>
  <si>
    <r>
      <t xml:space="preserve">In Excel, go to </t>
    </r>
    <r>
      <rPr>
        <i/>
        <sz val="12"/>
        <color theme="1"/>
        <rFont val="Calibri"/>
        <family val="2"/>
        <scheme val="minor"/>
      </rPr>
      <t>Data</t>
    </r>
    <r>
      <rPr>
        <sz val="12"/>
        <color theme="1"/>
        <rFont val="Calibri"/>
        <family val="2"/>
        <scheme val="minor"/>
      </rPr>
      <t xml:space="preserve"> &gt; </t>
    </r>
    <r>
      <rPr>
        <i/>
        <sz val="12"/>
        <color theme="1"/>
        <rFont val="Calibri"/>
        <family val="2"/>
        <scheme val="minor"/>
      </rPr>
      <t>Edit links</t>
    </r>
  </si>
  <si>
    <r>
      <t xml:space="preserve">Click </t>
    </r>
    <r>
      <rPr>
        <i/>
        <sz val="12"/>
        <color theme="1"/>
        <rFont val="Calibri"/>
        <family val="2"/>
        <scheme val="minor"/>
      </rPr>
      <t>Change source</t>
    </r>
  </si>
  <si>
    <t>Change source to the location where the CoolProp.xlam file is located on the computer. E.g.:</t>
  </si>
  <si>
    <r>
      <t>/Users/</t>
    </r>
    <r>
      <rPr>
        <i/>
        <sz val="12"/>
        <color theme="1"/>
        <rFont val="Calibri"/>
        <family val="2"/>
        <scheme val="minor"/>
      </rPr>
      <t>yourusername</t>
    </r>
    <r>
      <rPr>
        <sz val="12"/>
        <color theme="1"/>
        <rFont val="Calibri"/>
        <family val="2"/>
        <scheme val="minor"/>
      </rPr>
      <t xml:space="preserve">/Library/GroupContainers/UBF8T346G9.Office/CoolProp.xlam </t>
    </r>
  </si>
  <si>
    <t>FINAL STORAGE DATA</t>
  </si>
  <si>
    <t>Storage tank</t>
  </si>
  <si>
    <t>Geological storage</t>
  </si>
  <si>
    <t>IMPORT TERMINAL STORAGE DATA</t>
  </si>
  <si>
    <t>Cryogenic tank</t>
  </si>
  <si>
    <t>EXPORT TERMINAL STORAGE DATA</t>
  </si>
  <si>
    <t>Geological - Depleted NG or Oil Reservoir</t>
  </si>
  <si>
    <t>Geological - Salt Cavern</t>
  </si>
  <si>
    <t>Geological - Lined Rock Cavern</t>
  </si>
  <si>
    <t>France</t>
  </si>
  <si>
    <t>Spain</t>
  </si>
  <si>
    <t>Parameter</t>
  </si>
  <si>
    <t>Unit of measure</t>
  </si>
  <si>
    <t>Source</t>
  </si>
  <si>
    <t>NH3</t>
  </si>
  <si>
    <t>Source1</t>
  </si>
  <si>
    <r>
      <t>boil-off</t>
    </r>
    <r>
      <rPr>
        <vertAlign val="subscript"/>
        <sz val="12"/>
        <color theme="1"/>
        <rFont val="Calibri"/>
        <family val="2"/>
        <scheme val="minor"/>
      </rPr>
      <t>%</t>
    </r>
  </si>
  <si>
    <t>[-]</t>
  </si>
  <si>
    <t>IEA G20, 2020</t>
  </si>
  <si>
    <t>Al-Breiki et al., 2020</t>
  </si>
  <si>
    <t>Source2</t>
  </si>
  <si>
    <t>Source3</t>
  </si>
  <si>
    <t>Geological - Depleted NG or Oil ReservoirGermany</t>
  </si>
  <si>
    <t>Source4</t>
  </si>
  <si>
    <t>Geological - Depleted NG or Oil ReservoirFrance</t>
  </si>
  <si>
    <t>Source5</t>
  </si>
  <si>
    <t>Geological - Depleted NG or Oil ReservoirSpain</t>
  </si>
  <si>
    <t>Source6</t>
  </si>
  <si>
    <t>Geological - Salt CavernGermany</t>
  </si>
  <si>
    <t>Source7</t>
  </si>
  <si>
    <t>Geological - Salt CavernFrance</t>
  </si>
  <si>
    <t>Source8</t>
  </si>
  <si>
    <t>Geological - Salt CavernSpain</t>
  </si>
  <si>
    <t>Source9</t>
  </si>
  <si>
    <t>Geological - Lined Rock CavernGermany</t>
  </si>
  <si>
    <t>Source10</t>
  </si>
  <si>
    <t>Geological - Lined Rock CavernFrance</t>
  </si>
  <si>
    <t>Source11</t>
  </si>
  <si>
    <t>Geological - Lined Rock CavernSpain</t>
  </si>
  <si>
    <t>Source12</t>
  </si>
  <si>
    <t>Geological - AquiferGermany</t>
  </si>
  <si>
    <t>Source13</t>
  </si>
  <si>
    <t>Geological - AquiferFrance</t>
  </si>
  <si>
    <t>Source14</t>
  </si>
  <si>
    <t>Geological - AquiferSpain</t>
  </si>
  <si>
    <t>Source15</t>
  </si>
  <si>
    <r>
      <t>P</t>
    </r>
    <r>
      <rPr>
        <vertAlign val="subscript"/>
        <sz val="12"/>
        <color theme="1"/>
        <rFont val="Calibri"/>
        <family val="2"/>
      </rPr>
      <t>operating</t>
    </r>
  </si>
  <si>
    <r>
      <t>[bar</t>
    </r>
    <r>
      <rPr>
        <sz val="12"/>
        <color theme="1"/>
        <rFont val="Calibri"/>
        <family val="2"/>
      </rPr>
      <t>]</t>
    </r>
  </si>
  <si>
    <r>
      <t>m</t>
    </r>
    <r>
      <rPr>
        <vertAlign val="subscript"/>
        <sz val="12"/>
        <color theme="1"/>
        <rFont val="Calibri (Body)"/>
      </rPr>
      <t>losses</t>
    </r>
  </si>
  <si>
    <t>Own assumption</t>
  </si>
  <si>
    <r>
      <t>T</t>
    </r>
    <r>
      <rPr>
        <vertAlign val="subscript"/>
        <sz val="12"/>
        <color theme="1"/>
        <rFont val="Calibri"/>
        <family val="2"/>
        <scheme val="minor"/>
      </rPr>
      <t>operating</t>
    </r>
  </si>
  <si>
    <t>[°C]</t>
  </si>
  <si>
    <t>Langmi et al., 2022</t>
  </si>
  <si>
    <t>gie, Guidehouse</t>
  </si>
  <si>
    <r>
      <t>C</t>
    </r>
    <r>
      <rPr>
        <vertAlign val="subscript"/>
        <sz val="12"/>
        <color theme="1"/>
        <rFont val="Calibri"/>
        <family val="2"/>
        <scheme val="minor"/>
      </rPr>
      <t>max. tank design</t>
    </r>
  </si>
  <si>
    <t>[t]</t>
  </si>
  <si>
    <t>Avg. value</t>
  </si>
  <si>
    <r>
      <t>[</t>
    </r>
    <r>
      <rPr>
        <sz val="12"/>
        <color theme="1"/>
        <rFont val="Calibri"/>
        <family val="2"/>
      </rPr>
      <t>°C]</t>
    </r>
  </si>
  <si>
    <t>Uniper</t>
  </si>
  <si>
    <r>
      <t>OPEX</t>
    </r>
    <r>
      <rPr>
        <vertAlign val="subscript"/>
        <sz val="12"/>
        <color theme="1"/>
        <rFont val="Calibri (Body)"/>
      </rPr>
      <t>%</t>
    </r>
  </si>
  <si>
    <t>Same as the export terminal</t>
  </si>
  <si>
    <r>
      <rPr>
        <sz val="12"/>
        <color theme="1"/>
        <rFont val="Adobe Myungjo Std M"/>
        <family val="1"/>
        <charset val="128"/>
      </rPr>
      <t>ρ</t>
    </r>
    <r>
      <rPr>
        <vertAlign val="subscript"/>
        <sz val="12"/>
        <color theme="1"/>
        <rFont val="Calibri"/>
        <family val="2"/>
      </rPr>
      <t>H2</t>
    </r>
  </si>
  <si>
    <t>[kg/m3]</t>
  </si>
  <si>
    <r>
      <t>LT</t>
    </r>
    <r>
      <rPr>
        <vertAlign val="subscript"/>
        <sz val="12"/>
        <color rgb="FF000000"/>
        <rFont val="Calibri (Body)"/>
      </rPr>
      <t>system</t>
    </r>
  </si>
  <si>
    <t>[years]</t>
  </si>
  <si>
    <r>
      <t>V</t>
    </r>
    <r>
      <rPr>
        <vertAlign val="subscript"/>
        <sz val="12"/>
        <color theme="1"/>
        <rFont val="Calibri"/>
        <family val="2"/>
        <scheme val="minor"/>
      </rPr>
      <t>max. tank design</t>
    </r>
  </si>
  <si>
    <t>[m3]</t>
  </si>
  <si>
    <t>Inst. for Energy, EU</t>
  </si>
  <si>
    <t>i</t>
  </si>
  <si>
    <r>
      <t>V</t>
    </r>
    <r>
      <rPr>
        <vertAlign val="subscript"/>
        <sz val="12"/>
        <color theme="1"/>
        <rFont val="Calibri"/>
        <family val="2"/>
      </rPr>
      <t>min. reservoir size</t>
    </r>
  </si>
  <si>
    <t>Same as salt cavern</t>
  </si>
  <si>
    <t>ENGIE, HyPSTER, 2021</t>
  </si>
  <si>
    <r>
      <t>f</t>
    </r>
    <r>
      <rPr>
        <vertAlign val="subscript"/>
        <sz val="12"/>
        <color theme="1"/>
        <rFont val="Calibri (Body)"/>
      </rPr>
      <t>sc, storage</t>
    </r>
  </si>
  <si>
    <t>NREL, 1998</t>
  </si>
  <si>
    <r>
      <t>V</t>
    </r>
    <r>
      <rPr>
        <vertAlign val="subscript"/>
        <sz val="12"/>
        <color theme="1"/>
        <rFont val="Calibri"/>
        <family val="2"/>
      </rPr>
      <t>max. reservoir size</t>
    </r>
  </si>
  <si>
    <t>Muhammed et al., 2022</t>
  </si>
  <si>
    <r>
      <t>Cost</t>
    </r>
    <r>
      <rPr>
        <vertAlign val="subscript"/>
        <sz val="12"/>
        <color theme="1"/>
        <rFont val="Calibri"/>
        <family val="2"/>
        <scheme val="minor"/>
      </rPr>
      <t>base storage</t>
    </r>
  </si>
  <si>
    <r>
      <t>[M</t>
    </r>
    <r>
      <rPr>
        <sz val="12"/>
        <color theme="1"/>
        <rFont val="Calibri"/>
        <family val="2"/>
      </rPr>
      <t>€</t>
    </r>
    <r>
      <rPr>
        <sz val="12"/>
        <color theme="1"/>
        <rFont val="Calibri"/>
        <family val="2"/>
        <scheme val="minor"/>
      </rPr>
      <t>]</t>
    </r>
  </si>
  <si>
    <r>
      <t>cush. gas</t>
    </r>
    <r>
      <rPr>
        <vertAlign val="subscript"/>
        <sz val="12"/>
        <color theme="1"/>
        <rFont val="Calibri"/>
        <family val="2"/>
      </rPr>
      <t>%</t>
    </r>
  </si>
  <si>
    <t>-</t>
  </si>
  <si>
    <r>
      <t>C</t>
    </r>
    <r>
      <rPr>
        <vertAlign val="subscript"/>
        <sz val="12"/>
        <color theme="1"/>
        <rFont val="Calibri"/>
        <family val="2"/>
        <scheme val="minor"/>
      </rPr>
      <t>base storage</t>
    </r>
  </si>
  <si>
    <t>STORE&amp;GO, 2018</t>
  </si>
  <si>
    <t>HystorIES, D7.2-1, 2022</t>
  </si>
  <si>
    <t xml:space="preserve">Le Duigou et al., 2017 </t>
  </si>
  <si>
    <t>Saraf et al., 2021</t>
  </si>
  <si>
    <t>StoreFast, NREL, 2021, (Slide 23)</t>
  </si>
  <si>
    <r>
      <t>f</t>
    </r>
    <r>
      <rPr>
        <vertAlign val="subscript"/>
        <sz val="12"/>
        <color theme="1"/>
        <rFont val="Calibri (Body)"/>
      </rPr>
      <t>sc, pressure</t>
    </r>
  </si>
  <si>
    <t>DOE 2015</t>
  </si>
  <si>
    <t>HyUnder, 2013</t>
  </si>
  <si>
    <r>
      <t>V</t>
    </r>
    <r>
      <rPr>
        <vertAlign val="subscript"/>
        <sz val="12"/>
        <color theme="1"/>
        <rFont val="Calibri"/>
        <family val="2"/>
        <scheme val="minor"/>
      </rPr>
      <t>base storage</t>
    </r>
  </si>
  <si>
    <r>
      <t>P</t>
    </r>
    <r>
      <rPr>
        <vertAlign val="subscript"/>
        <sz val="12"/>
        <color theme="1"/>
        <rFont val="Calibri"/>
        <family val="2"/>
        <scheme val="minor"/>
      </rPr>
      <t>base storage</t>
    </r>
  </si>
  <si>
    <t>HOME</t>
  </si>
  <si>
    <r>
      <t>LCOH</t>
    </r>
    <r>
      <rPr>
        <vertAlign val="subscript"/>
        <sz val="18"/>
        <color rgb="FF000000"/>
        <rFont val="Calibri"/>
        <family val="2"/>
        <scheme val="minor"/>
      </rPr>
      <t>final storage</t>
    </r>
  </si>
  <si>
    <t>€/kg</t>
  </si>
  <si>
    <t>Project starting in</t>
  </si>
  <si>
    <t>Duration of storage:</t>
  </si>
  <si>
    <t>Number of cycles per year</t>
  </si>
  <si>
    <t>Type of storage</t>
  </si>
  <si>
    <t>Technology:</t>
  </si>
  <si>
    <t>Location:</t>
  </si>
  <si>
    <t>Input</t>
  </si>
  <si>
    <t>Default value</t>
  </si>
  <si>
    <t>Override</t>
  </si>
  <si>
    <t>Current value</t>
  </si>
  <si>
    <t>Unit of value</t>
  </si>
  <si>
    <t>Description</t>
  </si>
  <si>
    <t>Leak rates associated with the type of storage technology</t>
  </si>
  <si>
    <t>Efficiency parameters</t>
  </si>
  <si>
    <r>
      <t>C</t>
    </r>
    <r>
      <rPr>
        <vertAlign val="subscript"/>
        <sz val="12"/>
        <color theme="1"/>
        <rFont val="Calibri"/>
        <family val="2"/>
        <scheme val="minor"/>
      </rPr>
      <t>storage</t>
    </r>
  </si>
  <si>
    <r>
      <t>[t</t>
    </r>
    <r>
      <rPr>
        <vertAlign val="subscript"/>
        <sz val="12"/>
        <color theme="1"/>
        <rFont val="Calibri"/>
        <family val="2"/>
        <scheme val="minor"/>
      </rPr>
      <t>H2</t>
    </r>
    <r>
      <rPr>
        <sz val="12"/>
        <color theme="1"/>
        <rFont val="Calibri"/>
        <family val="2"/>
        <scheme val="minor"/>
      </rPr>
      <t>]</t>
    </r>
  </si>
  <si>
    <t>Amount of working hydrogen to be stored</t>
  </si>
  <si>
    <t>Design parameters</t>
  </si>
  <si>
    <r>
      <t xml:space="preserve">  t</t>
    </r>
    <r>
      <rPr>
        <vertAlign val="subscript"/>
        <sz val="12"/>
        <color theme="1"/>
        <rFont val="Calibri"/>
        <family val="2"/>
        <scheme val="minor"/>
      </rPr>
      <t>duration</t>
    </r>
  </si>
  <si>
    <t>[h]</t>
  </si>
  <si>
    <t>Storage time duration for each case</t>
  </si>
  <si>
    <r>
      <t xml:space="preserve">  t</t>
    </r>
    <r>
      <rPr>
        <vertAlign val="subscript"/>
        <sz val="12"/>
        <color theme="1"/>
        <rFont val="Calibri"/>
        <family val="2"/>
        <scheme val="minor"/>
      </rPr>
      <t>loading</t>
    </r>
  </si>
  <si>
    <t>Net amount of hydrogen produced annually</t>
  </si>
  <si>
    <r>
      <t xml:space="preserve">  Q</t>
    </r>
    <r>
      <rPr>
        <vertAlign val="subscript"/>
        <sz val="12"/>
        <color theme="1"/>
        <rFont val="Calibri"/>
        <family val="2"/>
        <scheme val="minor"/>
      </rPr>
      <t>H2</t>
    </r>
  </si>
  <si>
    <t>[t/a]</t>
  </si>
  <si>
    <r>
      <t>V</t>
    </r>
    <r>
      <rPr>
        <vertAlign val="subscript"/>
        <sz val="12"/>
        <color theme="1"/>
        <rFont val="Calibri"/>
        <family val="2"/>
        <scheme val="minor"/>
      </rPr>
      <t>storage desired</t>
    </r>
  </si>
  <si>
    <t>Volume storage desired</t>
  </si>
  <si>
    <r>
      <rPr>
        <sz val="12"/>
        <color theme="1"/>
        <rFont val="Adobe Myungjo Std M"/>
        <family val="1"/>
        <charset val="128"/>
      </rPr>
      <t>ρ</t>
    </r>
    <r>
      <rPr>
        <vertAlign val="subscript"/>
        <sz val="8.4"/>
        <color theme="1"/>
        <rFont val="Calibri"/>
        <family val="2"/>
      </rPr>
      <t>H2</t>
    </r>
  </si>
  <si>
    <t>Hydrogen density</t>
  </si>
  <si>
    <t>Cushion gas inherent of geological storage technologies</t>
  </si>
  <si>
    <t xml:space="preserve">Maximum design volume of the storage tank </t>
  </si>
  <si>
    <t>Design constraint parameters (tank storage)</t>
  </si>
  <si>
    <r>
      <t>n</t>
    </r>
    <r>
      <rPr>
        <vertAlign val="subscript"/>
        <sz val="12"/>
        <color theme="1"/>
        <rFont val="Calibri"/>
        <family val="2"/>
      </rPr>
      <t>tanks</t>
    </r>
  </si>
  <si>
    <t>Number of tanks with maximum design volume</t>
  </si>
  <si>
    <r>
      <t>n'</t>
    </r>
    <r>
      <rPr>
        <vertAlign val="subscript"/>
        <sz val="12"/>
        <color theme="1"/>
        <rFont val="Calibri"/>
        <family val="2"/>
      </rPr>
      <t>tanks</t>
    </r>
  </si>
  <si>
    <t>Number of tanks with maximum design volume (the result is rounded to the unit number)</t>
  </si>
  <si>
    <t>Minimum design volume of the geological reservoir</t>
  </si>
  <si>
    <t>Design constraint parameters (geological reservoir)</t>
  </si>
  <si>
    <t>Maximum design volume of the geological reservoir</t>
  </si>
  <si>
    <r>
      <t>n</t>
    </r>
    <r>
      <rPr>
        <vertAlign val="subscript"/>
        <sz val="12"/>
        <color theme="1"/>
        <rFont val="Calibri"/>
        <family val="2"/>
      </rPr>
      <t>reservoirs</t>
    </r>
  </si>
  <si>
    <t>Number of geological reservoirs with maximum design volume</t>
  </si>
  <si>
    <r>
      <t>n'</t>
    </r>
    <r>
      <rPr>
        <vertAlign val="subscript"/>
        <sz val="12"/>
        <color theme="1"/>
        <rFont val="Calibri"/>
        <family val="2"/>
      </rPr>
      <t>reservoirs</t>
    </r>
  </si>
  <si>
    <t>Number of geological reservoirs with maximum design volume (the result is rounded to the unit number)</t>
  </si>
  <si>
    <t xml:space="preserve"> </t>
  </si>
  <si>
    <t>OPEX, as percentage of the system CAPEX</t>
  </si>
  <si>
    <t>Econonomic parameters</t>
  </si>
  <si>
    <t>System lifetime</t>
  </si>
  <si>
    <t>Real discount rate</t>
  </si>
  <si>
    <r>
      <t>Price</t>
    </r>
    <r>
      <rPr>
        <vertAlign val="subscript"/>
        <sz val="12"/>
        <color theme="1"/>
        <rFont val="Calibri"/>
        <family val="2"/>
        <scheme val="minor"/>
      </rPr>
      <t>H2</t>
    </r>
  </si>
  <si>
    <r>
      <t>[</t>
    </r>
    <r>
      <rPr>
        <sz val="12"/>
        <color rgb="FF000000"/>
        <rFont val="Calibri"/>
        <family val="2"/>
      </rPr>
      <t>€</t>
    </r>
    <r>
      <rPr>
        <sz val="12"/>
        <color rgb="FF000000"/>
        <rFont val="Calibri"/>
        <family val="2"/>
        <scheme val="minor"/>
      </rPr>
      <t>/kg]</t>
    </r>
  </si>
  <si>
    <t>Hydrogen's gas price</t>
  </si>
  <si>
    <r>
      <t>a</t>
    </r>
    <r>
      <rPr>
        <vertAlign val="subscript"/>
        <sz val="12"/>
        <color theme="1"/>
        <rFont val="Calibri"/>
        <family val="2"/>
        <scheme val="minor"/>
      </rPr>
      <t>%</t>
    </r>
  </si>
  <si>
    <t>Amortization rate</t>
  </si>
  <si>
    <t>Storage cost scaling factor</t>
  </si>
  <si>
    <t>Storage pressure factor</t>
  </si>
  <si>
    <t>[M€]</t>
  </si>
  <si>
    <t>Base cost of the tank/ reservoir</t>
  </si>
  <si>
    <t>Base volume of the tank/ reservoir</t>
  </si>
  <si>
    <t>Base pressure of the tank/ reservoir</t>
  </si>
  <si>
    <t>CAPEX</t>
  </si>
  <si>
    <t>Results</t>
  </si>
  <si>
    <t>Annual amount of hydrogen handled</t>
  </si>
  <si>
    <r>
      <t>[kg</t>
    </r>
    <r>
      <rPr>
        <vertAlign val="subscript"/>
        <sz val="12"/>
        <color theme="1"/>
        <rFont val="Calibri"/>
        <family val="2"/>
        <scheme val="minor"/>
      </rPr>
      <t>H2</t>
    </r>
    <r>
      <rPr>
        <sz val="12"/>
        <color theme="1"/>
        <rFont val="Calibri"/>
        <family val="2"/>
        <scheme val="minor"/>
      </rPr>
      <t>]</t>
    </r>
  </si>
  <si>
    <r>
      <t>LCOH</t>
    </r>
    <r>
      <rPr>
        <vertAlign val="subscript"/>
        <sz val="12"/>
        <color theme="1"/>
        <rFont val="Calibri"/>
        <family val="2"/>
        <scheme val="minor"/>
      </rPr>
      <t>final storage</t>
    </r>
  </si>
  <si>
    <t>OPEX</t>
  </si>
  <si>
    <r>
      <t>LCOH</t>
    </r>
    <r>
      <rPr>
        <vertAlign val="subscript"/>
        <sz val="18"/>
        <color rgb="FF000000"/>
        <rFont val="Calibri"/>
        <family val="2"/>
        <scheme val="minor"/>
      </rPr>
      <t>intermediate storage</t>
    </r>
  </si>
  <si>
    <t>Location (export terminal):</t>
  </si>
  <si>
    <t>Location (import terminal):</t>
  </si>
  <si>
    <t>Liquid hydrogen/ liquid ammonia boil-off rate [%/day]</t>
  </si>
  <si>
    <t>Mass losses related to the liquid hydrogen/ liquid ammonia boil-off</t>
  </si>
  <si>
    <r>
      <t>C</t>
    </r>
    <r>
      <rPr>
        <vertAlign val="subscript"/>
        <sz val="12"/>
        <color theme="1"/>
        <rFont val="Calibri"/>
        <family val="2"/>
        <scheme val="minor"/>
      </rPr>
      <t>storage desired</t>
    </r>
  </si>
  <si>
    <r>
      <t>[t</t>
    </r>
    <r>
      <rPr>
        <vertAlign val="subscript"/>
        <sz val="12"/>
        <color theme="1"/>
        <rFont val="Calibri"/>
        <family val="2"/>
        <scheme val="minor"/>
      </rPr>
      <t>H2</t>
    </r>
    <r>
      <rPr>
        <sz val="12"/>
        <color theme="1"/>
        <rFont val="Calibri"/>
        <family val="2"/>
        <scheme val="minor"/>
      </rPr>
      <t xml:space="preserve"> or t</t>
    </r>
    <r>
      <rPr>
        <vertAlign val="subscript"/>
        <sz val="12"/>
        <color theme="1"/>
        <rFont val="Calibri"/>
        <family val="2"/>
        <scheme val="minor"/>
      </rPr>
      <t>NH3</t>
    </r>
    <r>
      <rPr>
        <sz val="12"/>
        <color theme="1"/>
        <rFont val="Calibri"/>
        <family val="2"/>
        <scheme val="minor"/>
      </rPr>
      <t>]</t>
    </r>
  </si>
  <si>
    <r>
      <t>t</t>
    </r>
    <r>
      <rPr>
        <vertAlign val="subscript"/>
        <sz val="12"/>
        <color theme="1"/>
        <rFont val="Calibri"/>
        <family val="2"/>
        <scheme val="minor"/>
      </rPr>
      <t>storage</t>
    </r>
  </si>
  <si>
    <t>Duration of storage in the export terminal</t>
  </si>
  <si>
    <r>
      <t>n</t>
    </r>
    <r>
      <rPr>
        <vertAlign val="subscript"/>
        <sz val="12"/>
        <color theme="1"/>
        <rFont val="Calibri"/>
        <family val="2"/>
        <scheme val="minor"/>
      </rPr>
      <t>cycles</t>
    </r>
  </si>
  <si>
    <t>Number of cycles per year varying w/ the duration of storage</t>
  </si>
  <si>
    <t>Maximum tank design capacity</t>
  </si>
  <si>
    <t>Base cost storage tank</t>
  </si>
  <si>
    <t>Base capacity storage tank</t>
  </si>
  <si>
    <t>Equivalent H2 dispensed by the storage tank per cycle</t>
  </si>
  <si>
    <t>Mass losses related to the liquid hydrogen/ liquid ammonia boil-off. It is assumed 20 days of storage in the import terminal.</t>
  </si>
  <si>
    <t>Capacity of storage desired (default sizing: shipping vessel capacity)</t>
  </si>
  <si>
    <t>Duration of storage in the import terminal</t>
  </si>
  <si>
    <r>
      <t>LCOH</t>
    </r>
    <r>
      <rPr>
        <vertAlign val="subscript"/>
        <sz val="12"/>
        <color theme="1"/>
        <rFont val="Calibri"/>
        <family val="2"/>
        <scheme val="minor"/>
      </rPr>
      <t>intermediate storage</t>
    </r>
  </si>
  <si>
    <t>LCOH breakdown</t>
  </si>
  <si>
    <r>
      <t>LCOH</t>
    </r>
    <r>
      <rPr>
        <vertAlign val="subscript"/>
        <sz val="12"/>
        <color theme="1"/>
        <rFont val="Calibri"/>
        <family val="2"/>
        <scheme val="minor"/>
      </rPr>
      <t>export terminal</t>
    </r>
  </si>
  <si>
    <r>
      <t>LCOH</t>
    </r>
    <r>
      <rPr>
        <vertAlign val="subscript"/>
        <sz val="12"/>
        <color theme="1"/>
        <rFont val="Calibri"/>
        <family val="2"/>
        <scheme val="minor"/>
      </rPr>
      <t>import terminal</t>
    </r>
  </si>
  <si>
    <r>
      <t>LCOH</t>
    </r>
    <r>
      <rPr>
        <vertAlign val="subscript"/>
        <sz val="18"/>
        <color theme="1"/>
        <rFont val="Calibri"/>
        <family val="2"/>
        <scheme val="minor"/>
      </rPr>
      <t>transmission, pipeline</t>
    </r>
  </si>
  <si>
    <r>
      <t>LCOH</t>
    </r>
    <r>
      <rPr>
        <vertAlign val="subscript"/>
        <sz val="18"/>
        <color theme="1"/>
        <rFont val="Calibri"/>
        <family val="2"/>
        <scheme val="minor"/>
      </rPr>
      <t>distribution, pipeline</t>
    </r>
  </si>
  <si>
    <t>Production country:</t>
  </si>
  <si>
    <t>Arrival hub:</t>
  </si>
  <si>
    <t>Destination location:</t>
  </si>
  <si>
    <t>TRANSMISSION - OFFSHORE PIPELINE</t>
  </si>
  <si>
    <t>Distance:</t>
  </si>
  <si>
    <t>[km]</t>
  </si>
  <si>
    <t xml:space="preserve">New or repurposed? </t>
  </si>
  <si>
    <t xml:space="preserve">Select pipeline size: </t>
  </si>
  <si>
    <t>Large</t>
  </si>
  <si>
    <t>Distance [km]</t>
  </si>
  <si>
    <t>Pressure [bar]</t>
  </si>
  <si>
    <t>[M€/km]</t>
  </si>
  <si>
    <t>CAPEX (pipeline only)</t>
  </si>
  <si>
    <t>Economic parameters</t>
  </si>
  <si>
    <t>OPEX%</t>
  </si>
  <si>
    <t>OPEX, as % of CAPEX</t>
  </si>
  <si>
    <t>Lifetime</t>
  </si>
  <si>
    <t>Pipeline lifetime</t>
  </si>
  <si>
    <t>D</t>
  </si>
  <si>
    <t>[mm]</t>
  </si>
  <si>
    <t>Pipeline internal diameter</t>
  </si>
  <si>
    <t>Operational parameters</t>
  </si>
  <si>
    <r>
      <t>p</t>
    </r>
    <r>
      <rPr>
        <vertAlign val="subscript"/>
        <sz val="12"/>
        <color theme="1"/>
        <rFont val="Calibri (Body)"/>
      </rPr>
      <t>op</t>
    </r>
  </si>
  <si>
    <t>Inlet operating pressure</t>
  </si>
  <si>
    <r>
      <t>L</t>
    </r>
    <r>
      <rPr>
        <vertAlign val="subscript"/>
        <sz val="12"/>
        <color theme="1"/>
        <rFont val="Calibri (Body)"/>
      </rPr>
      <t>compr</t>
    </r>
  </si>
  <si>
    <t>Distance between consecutive booster compressors</t>
  </si>
  <si>
    <r>
      <t>Q</t>
    </r>
    <r>
      <rPr>
        <vertAlign val="subscript"/>
        <sz val="12"/>
        <color theme="1"/>
        <rFont val="Calibri (Body)"/>
      </rPr>
      <t>H2</t>
    </r>
  </si>
  <si>
    <t>[GW]</t>
  </si>
  <si>
    <t>Pipeline design capacity, refering to H2 LHV</t>
  </si>
  <si>
    <t>Utilization</t>
  </si>
  <si>
    <t>Load factor in average year</t>
  </si>
  <si>
    <t>f</t>
  </si>
  <si>
    <t>Friction factor</t>
  </si>
  <si>
    <t>Pressure parameters</t>
  </si>
  <si>
    <r>
      <t>p</t>
    </r>
    <r>
      <rPr>
        <vertAlign val="subscript"/>
        <sz val="12"/>
        <color theme="1"/>
        <rFont val="Calibri (Body)"/>
      </rPr>
      <t>out</t>
    </r>
  </si>
  <si>
    <r>
      <t>p</t>
    </r>
    <r>
      <rPr>
        <vertAlign val="subscript"/>
        <sz val="12"/>
        <color theme="1"/>
        <rFont val="Calibri (Body)"/>
      </rPr>
      <t>min</t>
    </r>
  </si>
  <si>
    <t>Minimum pressure</t>
  </si>
  <si>
    <t xml:space="preserve">a% </t>
  </si>
  <si>
    <t>[ - ]</t>
  </si>
  <si>
    <r>
      <t>[€/kg</t>
    </r>
    <r>
      <rPr>
        <vertAlign val="subscript"/>
        <sz val="12"/>
        <color theme="1"/>
        <rFont val="Calibri (Body)"/>
      </rPr>
      <t>H2</t>
    </r>
    <r>
      <rPr>
        <sz val="12"/>
        <color theme="1"/>
        <rFont val="Calibri"/>
        <family val="2"/>
        <scheme val="minor"/>
      </rPr>
      <t>/1000km]</t>
    </r>
  </si>
  <si>
    <t>CAPEX per unit of H2 and distance</t>
  </si>
  <si>
    <r>
      <t>LCOH</t>
    </r>
    <r>
      <rPr>
        <vertAlign val="subscript"/>
        <sz val="12"/>
        <color theme="1"/>
        <rFont val="Calibri"/>
        <family val="2"/>
        <scheme val="minor"/>
      </rPr>
      <t>transm,offshore pipeline</t>
    </r>
  </si>
  <si>
    <r>
      <t>[€/kg</t>
    </r>
    <r>
      <rPr>
        <vertAlign val="subscript"/>
        <sz val="12"/>
        <color theme="1"/>
        <rFont val="Calibri (Body)"/>
      </rPr>
      <t>H2</t>
    </r>
    <r>
      <rPr>
        <sz val="12"/>
        <color theme="1"/>
        <rFont val="Calibri"/>
        <family val="2"/>
        <scheme val="minor"/>
      </rPr>
      <t>]</t>
    </r>
  </si>
  <si>
    <t>Levelized cost of hydrogen offshore transmission</t>
  </si>
  <si>
    <t>TRANSMISSION - ONSHORE PIPELINE</t>
  </si>
  <si>
    <t>Discount rate</t>
  </si>
  <si>
    <t>Operating pressure</t>
  </si>
  <si>
    <r>
      <t>LCOH</t>
    </r>
    <r>
      <rPr>
        <vertAlign val="subscript"/>
        <sz val="12"/>
        <color theme="1"/>
        <rFont val="Calibri"/>
        <family val="2"/>
        <scheme val="minor"/>
      </rPr>
      <t>transm,onshore pipeline</t>
    </r>
  </si>
  <si>
    <t>DISTRIBUTION - PIPELINE</t>
  </si>
  <si>
    <t>Small</t>
  </si>
  <si>
    <r>
      <t>LCOH</t>
    </r>
    <r>
      <rPr>
        <vertAlign val="subscript"/>
        <sz val="12"/>
        <color theme="1"/>
        <rFont val="Calibri"/>
        <family val="2"/>
        <scheme val="minor"/>
      </rPr>
      <t>distr, pipeline</t>
    </r>
  </si>
  <si>
    <t>Levelized cost of hydrogen distribution</t>
  </si>
  <si>
    <t>Multistage centrifugal compressor</t>
  </si>
  <si>
    <t>Multistage reciprocating compressor</t>
  </si>
  <si>
    <t>Liquefier Plant Technology</t>
  </si>
  <si>
    <t>Regasification Plant</t>
  </si>
  <si>
    <t>NH3 Conversion Plant</t>
  </si>
  <si>
    <t>NH3 Reconversion Plant</t>
  </si>
  <si>
    <t>Pipeline inlet</t>
  </si>
  <si>
    <t>Pipeline inlet - Distribution</t>
  </si>
  <si>
    <t>Column1</t>
  </si>
  <si>
    <t>Pipeline booster - transmission offshore</t>
  </si>
  <si>
    <t>Pipeline booster - transmission onshore</t>
  </si>
  <si>
    <t>Source 2</t>
  </si>
  <si>
    <t>Pipeline booster - distribution</t>
  </si>
  <si>
    <t>Final compression</t>
  </si>
  <si>
    <t>Truck - 250 bar</t>
  </si>
  <si>
    <t>Source 4</t>
  </si>
  <si>
    <t>Source 5</t>
  </si>
  <si>
    <t>Source 6</t>
  </si>
  <si>
    <t>Source 7</t>
  </si>
  <si>
    <t>Source 8</t>
  </si>
  <si>
    <t>Source 9</t>
  </si>
  <si>
    <t>Source 10</t>
  </si>
  <si>
    <t>Source 11</t>
  </si>
  <si>
    <t>Source 12</t>
  </si>
  <si>
    <t>Conventional Liquefaction Plant</t>
  </si>
  <si>
    <t>Proposed Liquefaction Plant (LNG pre-cooling)</t>
  </si>
  <si>
    <t>Reuß et al., 2017</t>
  </si>
  <si>
    <t>Availability</t>
  </si>
  <si>
    <t>Graf et al., 2021</t>
  </si>
  <si>
    <t>IDEALHY, 2013</t>
  </si>
  <si>
    <t>Same as the liquefaction plant</t>
  </si>
  <si>
    <r>
      <t>(m</t>
    </r>
    <r>
      <rPr>
        <vertAlign val="subscript"/>
        <sz val="12"/>
        <color theme="1"/>
        <rFont val="Calibri (Body)"/>
      </rPr>
      <t>losses</t>
    </r>
    <r>
      <rPr>
        <sz val="12"/>
        <color theme="1"/>
        <rFont val="Calibri"/>
        <family val="2"/>
        <scheme val="minor"/>
      </rPr>
      <t>)</t>
    </r>
    <r>
      <rPr>
        <vertAlign val="subscript"/>
        <sz val="12"/>
        <color theme="1"/>
        <rFont val="Calibri"/>
        <family val="2"/>
        <scheme val="minor"/>
      </rPr>
      <t>H2 recov. rate</t>
    </r>
  </si>
  <si>
    <t>The Transition Accelerator, October 2021</t>
  </si>
  <si>
    <t>Cardella et al., 2017</t>
  </si>
  <si>
    <t>DNV, GL, 2020</t>
  </si>
  <si>
    <r>
      <t>(m</t>
    </r>
    <r>
      <rPr>
        <vertAlign val="subscript"/>
        <sz val="12"/>
        <color theme="1"/>
        <rFont val="Calibri (Body)"/>
      </rPr>
      <t>losses</t>
    </r>
    <r>
      <rPr>
        <sz val="12"/>
        <color theme="1"/>
        <rFont val="Calibri"/>
        <family val="2"/>
        <scheme val="minor"/>
      </rPr>
      <t>)</t>
    </r>
    <r>
      <rPr>
        <vertAlign val="subscript"/>
        <sz val="12"/>
        <color theme="1"/>
        <rFont val="Calibri"/>
        <family val="2"/>
        <scheme val="minor"/>
      </rPr>
      <t>PSA H2 recov. rate</t>
    </r>
  </si>
  <si>
    <r>
      <t>𝜂</t>
    </r>
    <r>
      <rPr>
        <vertAlign val="subscript"/>
        <sz val="12"/>
        <color theme="1"/>
        <rFont val="Calibri (Body)"/>
      </rPr>
      <t>electric motor</t>
    </r>
  </si>
  <si>
    <t>SEC</t>
  </si>
  <si>
    <t>[kWh/kg]</t>
  </si>
  <si>
    <r>
      <t>SEC</t>
    </r>
    <r>
      <rPr>
        <vertAlign val="subscript"/>
        <sz val="12"/>
        <color theme="1"/>
        <rFont val="Calibri"/>
        <family val="2"/>
        <scheme val="minor"/>
      </rPr>
      <t>H-B process synloop</t>
    </r>
  </si>
  <si>
    <r>
      <t>[kWh/kg</t>
    </r>
    <r>
      <rPr>
        <vertAlign val="subscript"/>
        <sz val="12"/>
        <color theme="1"/>
        <rFont val="Calibri"/>
        <family val="2"/>
        <scheme val="minor"/>
      </rPr>
      <t>NH3</t>
    </r>
    <r>
      <rPr>
        <sz val="12"/>
        <color theme="1"/>
        <rFont val="Calibri"/>
        <family val="2"/>
        <scheme val="minor"/>
      </rPr>
      <t>]</t>
    </r>
  </si>
  <si>
    <t>Lu Wang et al., 2018</t>
  </si>
  <si>
    <r>
      <t>𝜂</t>
    </r>
    <r>
      <rPr>
        <vertAlign val="subscript"/>
        <sz val="12"/>
        <color theme="1"/>
        <rFont val="Calibri (Body)"/>
      </rPr>
      <t>isentropic</t>
    </r>
  </si>
  <si>
    <r>
      <t>SEC</t>
    </r>
    <r>
      <rPr>
        <vertAlign val="subscript"/>
        <sz val="12"/>
        <color theme="1"/>
        <rFont val="Calibri"/>
        <family val="2"/>
        <scheme val="minor"/>
      </rPr>
      <t>ASU</t>
    </r>
  </si>
  <si>
    <r>
      <t>SEC</t>
    </r>
    <r>
      <rPr>
        <vertAlign val="subscript"/>
        <sz val="12"/>
        <color theme="1"/>
        <rFont val="Calibri"/>
        <family val="2"/>
        <scheme val="minor"/>
      </rPr>
      <t>heat req. for NH3 cracking</t>
    </r>
  </si>
  <si>
    <r>
      <t>[kWh</t>
    </r>
    <r>
      <rPr>
        <vertAlign val="subscript"/>
        <sz val="11"/>
        <color theme="1"/>
        <rFont val="Calibri"/>
        <family val="2"/>
        <scheme val="minor"/>
      </rPr>
      <t>electricity</t>
    </r>
    <r>
      <rPr>
        <sz val="12"/>
        <color theme="1"/>
        <rFont val="Calibri"/>
        <family val="2"/>
        <scheme val="minor"/>
      </rPr>
      <t>/kg</t>
    </r>
    <r>
      <rPr>
        <vertAlign val="subscript"/>
        <sz val="11"/>
        <color theme="1"/>
        <rFont val="Calibri"/>
        <family val="2"/>
        <scheme val="minor"/>
      </rPr>
      <t>H2</t>
    </r>
    <r>
      <rPr>
        <sz val="11"/>
        <color theme="1"/>
        <rFont val="Calibri (Body)"/>
      </rPr>
      <t>]</t>
    </r>
  </si>
  <si>
    <r>
      <t>Q</t>
    </r>
    <r>
      <rPr>
        <vertAlign val="subscript"/>
        <sz val="12"/>
        <color theme="1"/>
        <rFont val="Calibri (Body)"/>
      </rPr>
      <t>compr</t>
    </r>
  </si>
  <si>
    <t>[kg/h]</t>
  </si>
  <si>
    <t>Own calculation</t>
  </si>
  <si>
    <r>
      <t>SEC</t>
    </r>
    <r>
      <rPr>
        <vertAlign val="subscript"/>
        <sz val="12"/>
        <color theme="1"/>
        <rFont val="Calibri"/>
        <family val="2"/>
        <scheme val="minor"/>
      </rPr>
      <t>H2 purification (PSA)</t>
    </r>
  </si>
  <si>
    <r>
      <t>p</t>
    </r>
    <r>
      <rPr>
        <vertAlign val="subscript"/>
        <sz val="12"/>
        <color theme="1"/>
        <rFont val="Calibri (Body)"/>
      </rPr>
      <t>1</t>
    </r>
  </si>
  <si>
    <t>Bertuccioli et al., 2014; Soltani et al., 2014; Riley et al., 2021</t>
  </si>
  <si>
    <r>
      <t>f</t>
    </r>
    <r>
      <rPr>
        <vertAlign val="subscript"/>
        <sz val="12"/>
        <color theme="1"/>
        <rFont val="Calibri (Body)"/>
      </rPr>
      <t>sc, liq.</t>
    </r>
  </si>
  <si>
    <t>Humphreys, 2004</t>
  </si>
  <si>
    <r>
      <t>f</t>
    </r>
    <r>
      <rPr>
        <vertAlign val="subscript"/>
        <sz val="12"/>
        <color theme="1"/>
        <rFont val="Calibri (Body)"/>
      </rPr>
      <t>sc, regas.</t>
    </r>
  </si>
  <si>
    <t>HDSAM, Argonne National Lab.</t>
  </si>
  <si>
    <r>
      <t>T</t>
    </r>
    <r>
      <rPr>
        <vertAlign val="subscript"/>
        <sz val="12"/>
        <color theme="1"/>
        <rFont val="Calibri (Body)"/>
      </rPr>
      <t>1</t>
    </r>
  </si>
  <si>
    <r>
      <t>Cost</t>
    </r>
    <r>
      <rPr>
        <vertAlign val="subscript"/>
        <sz val="12"/>
        <color theme="1"/>
        <rFont val="Calibri"/>
        <family val="2"/>
        <scheme val="minor"/>
      </rPr>
      <t>base liq plant</t>
    </r>
  </si>
  <si>
    <t>Faramarzi et al., 2021</t>
  </si>
  <si>
    <r>
      <t>Cost</t>
    </r>
    <r>
      <rPr>
        <vertAlign val="subscript"/>
        <sz val="12"/>
        <color theme="1"/>
        <rFont val="Calibri"/>
        <family val="2"/>
        <scheme val="minor"/>
      </rPr>
      <t>base regas plant</t>
    </r>
  </si>
  <si>
    <t>[€]</t>
  </si>
  <si>
    <r>
      <t>f</t>
    </r>
    <r>
      <rPr>
        <vertAlign val="subscript"/>
        <sz val="12"/>
        <color theme="1"/>
        <rFont val="Calibri (Body)"/>
      </rPr>
      <t>sc, NH3 conv.</t>
    </r>
    <r>
      <rPr>
        <vertAlign val="subscript"/>
        <sz val="12"/>
        <color theme="1"/>
        <rFont val="Calibri"/>
        <family val="2"/>
        <scheme val="minor"/>
      </rPr>
      <t xml:space="preserve"> plant</t>
    </r>
  </si>
  <si>
    <r>
      <t>p</t>
    </r>
    <r>
      <rPr>
        <vertAlign val="subscript"/>
        <sz val="12"/>
        <color theme="1"/>
        <rFont val="Calibri (Body)"/>
      </rPr>
      <t>2</t>
    </r>
  </si>
  <si>
    <t>US DOE</t>
  </si>
  <si>
    <r>
      <t>Size</t>
    </r>
    <r>
      <rPr>
        <vertAlign val="subscript"/>
        <sz val="12"/>
        <color theme="1"/>
        <rFont val="Calibri"/>
        <family val="2"/>
        <scheme val="minor"/>
      </rPr>
      <t>base liq plant</t>
    </r>
  </si>
  <si>
    <t>[tpd]</t>
  </si>
  <si>
    <r>
      <t>Size</t>
    </r>
    <r>
      <rPr>
        <vertAlign val="subscript"/>
        <sz val="12"/>
        <color theme="1"/>
        <rFont val="Calibri"/>
        <family val="2"/>
        <scheme val="minor"/>
      </rPr>
      <t>base regas plant</t>
    </r>
  </si>
  <si>
    <r>
      <t>Cost</t>
    </r>
    <r>
      <rPr>
        <vertAlign val="subscript"/>
        <sz val="12"/>
        <color theme="1"/>
        <rFont val="Calibri"/>
        <family val="2"/>
        <scheme val="minor"/>
      </rPr>
      <t>base H-B Process Synloop</t>
    </r>
  </si>
  <si>
    <t>Iowa State University</t>
  </si>
  <si>
    <r>
      <t>f</t>
    </r>
    <r>
      <rPr>
        <vertAlign val="subscript"/>
        <sz val="12"/>
        <color theme="1"/>
        <rFont val="Calibri"/>
        <family val="2"/>
        <scheme val="minor"/>
      </rPr>
      <t>sc, NH3 reconv. plant</t>
    </r>
  </si>
  <si>
    <t>x</t>
  </si>
  <si>
    <r>
      <t>Cost</t>
    </r>
    <r>
      <rPr>
        <vertAlign val="subscript"/>
        <sz val="12"/>
        <color theme="1"/>
        <rFont val="Calibri"/>
        <family val="2"/>
        <scheme val="minor"/>
      </rPr>
      <t>base ASU</t>
    </r>
  </si>
  <si>
    <r>
      <t>Cost</t>
    </r>
    <r>
      <rPr>
        <vertAlign val="subscript"/>
        <sz val="12"/>
        <color theme="1"/>
        <rFont val="Calibri"/>
        <family val="2"/>
        <scheme val="minor"/>
      </rPr>
      <t>base NH3 reconv. plant</t>
    </r>
  </si>
  <si>
    <r>
      <t>P</t>
    </r>
    <r>
      <rPr>
        <vertAlign val="subscript"/>
        <sz val="12"/>
        <color rgb="FF000000"/>
        <rFont val="Calibri"/>
        <family val="2"/>
        <scheme val="minor"/>
      </rPr>
      <t>max unit</t>
    </r>
  </si>
  <si>
    <t>[kW]</t>
  </si>
  <si>
    <t>The Transition Accelerator, November 2021</t>
  </si>
  <si>
    <r>
      <t>Size</t>
    </r>
    <r>
      <rPr>
        <vertAlign val="subscript"/>
        <sz val="12"/>
        <color theme="1"/>
        <rFont val="Calibri"/>
        <family val="2"/>
        <scheme val="minor"/>
      </rPr>
      <t>base NH3 conv. plant</t>
    </r>
  </si>
  <si>
    <r>
      <t>[tpd</t>
    </r>
    <r>
      <rPr>
        <vertAlign val="subscript"/>
        <sz val="12"/>
        <color theme="1"/>
        <rFont val="Calibri"/>
        <family val="2"/>
        <scheme val="minor"/>
      </rPr>
      <t>NH3</t>
    </r>
    <r>
      <rPr>
        <sz val="12"/>
        <color theme="1"/>
        <rFont val="Calibri"/>
        <family val="2"/>
        <scheme val="minor"/>
      </rPr>
      <t>]</t>
    </r>
  </si>
  <si>
    <r>
      <t>Size</t>
    </r>
    <r>
      <rPr>
        <vertAlign val="subscript"/>
        <sz val="12"/>
        <color theme="1"/>
        <rFont val="Calibri"/>
        <family val="2"/>
        <scheme val="minor"/>
      </rPr>
      <t>base NH3 reconv. plant</t>
    </r>
  </si>
  <si>
    <t>U.S. Department of Energy</t>
  </si>
  <si>
    <r>
      <t>M</t>
    </r>
    <r>
      <rPr>
        <vertAlign val="subscript"/>
        <sz val="12"/>
        <color theme="1"/>
        <rFont val="Calibri"/>
        <family val="2"/>
        <scheme val="minor"/>
      </rPr>
      <t>NH3</t>
    </r>
  </si>
  <si>
    <t>[kg/kmol]</t>
  </si>
  <si>
    <t>Shapiro et al., eight edition</t>
  </si>
  <si>
    <r>
      <t>M</t>
    </r>
    <r>
      <rPr>
        <vertAlign val="subscript"/>
        <sz val="12"/>
        <color theme="1"/>
        <rFont val="Calibri"/>
        <family val="2"/>
        <scheme val="minor"/>
      </rPr>
      <t>H2</t>
    </r>
  </si>
  <si>
    <r>
      <t>M</t>
    </r>
    <r>
      <rPr>
        <vertAlign val="subscript"/>
        <sz val="12"/>
        <color theme="1"/>
        <rFont val="Calibri"/>
        <family val="2"/>
        <scheme val="minor"/>
      </rPr>
      <t>N2</t>
    </r>
  </si>
  <si>
    <r>
      <t>f</t>
    </r>
    <r>
      <rPr>
        <vertAlign val="subscript"/>
        <sz val="12"/>
        <color theme="1"/>
        <rFont val="Calibri (Body)"/>
      </rPr>
      <t>sc, compr.</t>
    </r>
  </si>
  <si>
    <t>Lahnaoui et al., 2019</t>
  </si>
  <si>
    <r>
      <t>Cost</t>
    </r>
    <r>
      <rPr>
        <vertAlign val="subscript"/>
        <sz val="12"/>
        <color theme="1"/>
        <rFont val="Calibri"/>
        <family val="2"/>
        <scheme val="minor"/>
      </rPr>
      <t>base compr.</t>
    </r>
  </si>
  <si>
    <r>
      <t>[</t>
    </r>
    <r>
      <rPr>
        <sz val="12"/>
        <color theme="1"/>
        <rFont val="Arial"/>
        <family val="2"/>
      </rPr>
      <t>€/kW]</t>
    </r>
  </si>
  <si>
    <r>
      <t>Size</t>
    </r>
    <r>
      <rPr>
        <vertAlign val="subscript"/>
        <sz val="12"/>
        <color theme="1"/>
        <rFont val="Calibri"/>
        <family val="2"/>
        <scheme val="minor"/>
      </rPr>
      <t>base compr.</t>
    </r>
  </si>
  <si>
    <r>
      <t>P</t>
    </r>
    <r>
      <rPr>
        <vertAlign val="subscript"/>
        <sz val="12"/>
        <color theme="1"/>
        <rFont val="Calibri"/>
        <family val="2"/>
        <scheme val="minor"/>
      </rPr>
      <t>base compr.</t>
    </r>
  </si>
  <si>
    <t>Not linked</t>
  </si>
  <si>
    <t>Soltani et al., 2014</t>
  </si>
  <si>
    <t>Riley et al., 2021</t>
  </si>
  <si>
    <r>
      <t>LCOH</t>
    </r>
    <r>
      <rPr>
        <vertAlign val="subscript"/>
        <sz val="18"/>
        <color rgb="FF000000"/>
        <rFont val="Calibri"/>
        <family val="2"/>
        <scheme val="minor"/>
      </rPr>
      <t>compression</t>
    </r>
  </si>
  <si>
    <t>LCOH [€/kg]</t>
  </si>
  <si>
    <t>Type of application</t>
  </si>
  <si>
    <t>Edit data for:</t>
  </si>
  <si>
    <t>Overall mass flow rate losses in the compressor</t>
  </si>
  <si>
    <t>Compressor efficiency parameters</t>
  </si>
  <si>
    <r>
      <t>p</t>
    </r>
    <r>
      <rPr>
        <vertAlign val="subscript"/>
        <sz val="12"/>
        <color theme="1"/>
        <rFont val="Calibri (Body)"/>
      </rPr>
      <t>1</t>
    </r>
    <r>
      <rPr>
        <sz val="12"/>
        <color theme="1"/>
        <rFont val="Calibri (Body)"/>
      </rPr>
      <t xml:space="preserve"> [bar]</t>
    </r>
  </si>
  <si>
    <t>Isentropic efficiency</t>
  </si>
  <si>
    <t>Mass flow rate of the gas flowing trough the compressor</t>
  </si>
  <si>
    <t>Case conditions</t>
  </si>
  <si>
    <t>Pressure of the feed gas flow</t>
  </si>
  <si>
    <t>Temperature of the feed gas flow</t>
  </si>
  <si>
    <t>Pressure of the gas exiting the compressor</t>
  </si>
  <si>
    <r>
      <t>T</t>
    </r>
    <r>
      <rPr>
        <vertAlign val="subscript"/>
        <sz val="12"/>
        <color theme="1"/>
        <rFont val="Calibri (Body)"/>
      </rPr>
      <t>2</t>
    </r>
  </si>
  <si>
    <t>Temperature of the discharge gas flow</t>
  </si>
  <si>
    <r>
      <t>p</t>
    </r>
    <r>
      <rPr>
        <vertAlign val="subscript"/>
        <sz val="12"/>
        <color theme="1"/>
        <rFont val="Calibri (Body)"/>
      </rPr>
      <t>avg</t>
    </r>
  </si>
  <si>
    <t>Average pressure between inlet and outlet pressures</t>
  </si>
  <si>
    <r>
      <t>T</t>
    </r>
    <r>
      <rPr>
        <vertAlign val="subscript"/>
        <sz val="12"/>
        <color theme="1"/>
        <rFont val="Calibri (Body)"/>
      </rPr>
      <t>avg</t>
    </r>
  </si>
  <si>
    <t>Average temperature between inlet and outlet temperatures</t>
  </si>
  <si>
    <t>Compression ratio for each stage</t>
  </si>
  <si>
    <t>Compressor design parameters</t>
  </si>
  <si>
    <t>k</t>
  </si>
  <si>
    <t>Gas isentropic coefficient, ratio of specific heat at constant pressure to that at constant volume</t>
  </si>
  <si>
    <t>Z</t>
  </si>
  <si>
    <t>Gas compressibility factor</t>
  </si>
  <si>
    <t>M</t>
  </si>
  <si>
    <t>Gas molecular weight</t>
  </si>
  <si>
    <t>R</t>
  </si>
  <si>
    <t>[J/kg/K]</t>
  </si>
  <si>
    <t>Universal gas constant</t>
  </si>
  <si>
    <r>
      <t>N</t>
    </r>
    <r>
      <rPr>
        <vertAlign val="subscript"/>
        <sz val="12"/>
        <color theme="1"/>
        <rFont val="Calibri (Body)"/>
      </rPr>
      <t>stages</t>
    </r>
  </si>
  <si>
    <t>Number of compressor stages</t>
  </si>
  <si>
    <t>Compressor power parameters</t>
  </si>
  <si>
    <r>
      <t>P</t>
    </r>
    <r>
      <rPr>
        <vertAlign val="subscript"/>
        <sz val="12"/>
        <color theme="1"/>
        <rFont val="Calibri (Body)"/>
      </rPr>
      <t>real</t>
    </r>
  </si>
  <si>
    <t>Actual power over the electric motor efficiency</t>
  </si>
  <si>
    <r>
      <t>P</t>
    </r>
    <r>
      <rPr>
        <vertAlign val="subscript"/>
        <sz val="12"/>
        <color theme="1"/>
        <rFont val="Calibri (Body)"/>
      </rPr>
      <t>rated</t>
    </r>
  </si>
  <si>
    <t>Rated power of the desired compression station</t>
  </si>
  <si>
    <t>Maximum rated power considered per compressor</t>
  </si>
  <si>
    <r>
      <t>N</t>
    </r>
    <r>
      <rPr>
        <vertAlign val="subscript"/>
        <sz val="12"/>
        <color rgb="FF000000"/>
        <rFont val="Calibri"/>
        <family val="2"/>
        <scheme val="minor"/>
      </rPr>
      <t>units'</t>
    </r>
  </si>
  <si>
    <r>
      <t>N</t>
    </r>
    <r>
      <rPr>
        <vertAlign val="subscript"/>
        <sz val="12"/>
        <color theme="1"/>
        <rFont val="Calibri (Body)"/>
      </rPr>
      <t>units</t>
    </r>
  </si>
  <si>
    <t>Number of compressors with max power (round down)</t>
  </si>
  <si>
    <t>Compressor econonomic parameters</t>
  </si>
  <si>
    <t>Compressor cost scaling factor</t>
  </si>
  <si>
    <t>Compressor pressure factor</t>
  </si>
  <si>
    <r>
      <t>Cost</t>
    </r>
    <r>
      <rPr>
        <vertAlign val="subscript"/>
        <sz val="12"/>
        <color theme="1"/>
        <rFont val="Calibri"/>
        <family val="2"/>
        <scheme val="minor"/>
      </rPr>
      <t>base</t>
    </r>
    <r>
      <rPr>
        <sz val="12"/>
        <color theme="1"/>
        <rFont val="Calibri"/>
        <family val="2"/>
        <scheme val="minor"/>
      </rPr>
      <t xml:space="preserve"> </t>
    </r>
    <r>
      <rPr>
        <vertAlign val="subscript"/>
        <sz val="12"/>
        <color theme="1"/>
        <rFont val="Calibri"/>
        <family val="2"/>
        <scheme val="minor"/>
      </rPr>
      <t>compr.</t>
    </r>
  </si>
  <si>
    <t>d/unit</t>
  </si>
  <si>
    <t>Distance between consecutive compressor when operated as pipeline boosters</t>
  </si>
  <si>
    <t>Booster distances</t>
  </si>
  <si>
    <t>Electricity annual consumption</t>
  </si>
  <si>
    <r>
      <t>[MWh</t>
    </r>
    <r>
      <rPr>
        <vertAlign val="subscript"/>
        <sz val="12"/>
        <color theme="1"/>
        <rFont val="Calibri (Body)"/>
      </rPr>
      <t>electricity</t>
    </r>
    <r>
      <rPr>
        <sz val="12"/>
        <color theme="1"/>
        <rFont val="Calibri"/>
        <family val="2"/>
        <scheme val="minor"/>
      </rPr>
      <t>/a]</t>
    </r>
  </si>
  <si>
    <t>Compressed hydrogen per year</t>
  </si>
  <si>
    <r>
      <t>[t</t>
    </r>
    <r>
      <rPr>
        <vertAlign val="subscript"/>
        <sz val="12"/>
        <color theme="1"/>
        <rFont val="Calibri (Body)"/>
      </rPr>
      <t>H2</t>
    </r>
    <r>
      <rPr>
        <sz val="12"/>
        <color theme="1"/>
        <rFont val="Calibri"/>
        <family val="2"/>
        <scheme val="minor"/>
      </rPr>
      <t>]</t>
    </r>
  </si>
  <si>
    <r>
      <t>LCOH</t>
    </r>
    <r>
      <rPr>
        <vertAlign val="subscript"/>
        <sz val="12"/>
        <color theme="1"/>
        <rFont val="Calibri (Body)"/>
      </rPr>
      <t>compression</t>
    </r>
  </si>
  <si>
    <r>
      <t>LCOH</t>
    </r>
    <r>
      <rPr>
        <vertAlign val="subscript"/>
        <sz val="12"/>
        <color theme="1"/>
        <rFont val="Calibri (Body)"/>
      </rPr>
      <t>compressor</t>
    </r>
  </si>
  <si>
    <r>
      <t>LCOH</t>
    </r>
    <r>
      <rPr>
        <vertAlign val="subscript"/>
        <sz val="12"/>
        <color theme="1"/>
        <rFont val="Calibri (Body)"/>
      </rPr>
      <t>electricity</t>
    </r>
  </si>
  <si>
    <r>
      <t>[</t>
    </r>
    <r>
      <rPr>
        <sz val="11"/>
        <color theme="1"/>
        <rFont val="Calibri"/>
        <family val="2"/>
      </rPr>
      <t>€/kWh</t>
    </r>
    <r>
      <rPr>
        <vertAlign val="subscript"/>
        <sz val="11"/>
        <color theme="1"/>
        <rFont val="Calibri"/>
        <family val="2"/>
      </rPr>
      <t>electricity</t>
    </r>
    <r>
      <rPr>
        <sz val="11"/>
        <color theme="1"/>
        <rFont val="Calibri"/>
        <family val="2"/>
      </rPr>
      <t>]</t>
    </r>
  </si>
  <si>
    <r>
      <t>[M</t>
    </r>
    <r>
      <rPr>
        <sz val="11"/>
        <color theme="1"/>
        <rFont val="Calibri"/>
        <family val="2"/>
      </rPr>
      <t>€/a</t>
    </r>
    <r>
      <rPr>
        <sz val="12"/>
        <color theme="1"/>
        <rFont val="Calibri"/>
        <family val="2"/>
        <scheme val="minor"/>
      </rPr>
      <t>]</t>
    </r>
  </si>
  <si>
    <r>
      <t>[t</t>
    </r>
    <r>
      <rPr>
        <vertAlign val="subscript"/>
        <sz val="11"/>
        <color theme="1"/>
        <rFont val="Calibri"/>
        <family val="2"/>
        <scheme val="minor"/>
      </rPr>
      <t>H2</t>
    </r>
    <r>
      <rPr>
        <sz val="12"/>
        <color theme="1"/>
        <rFont val="Calibri"/>
        <family val="2"/>
        <scheme val="minor"/>
      </rPr>
      <t>/a]</t>
    </r>
  </si>
  <si>
    <t>Year</t>
  </si>
  <si>
    <t>Year No.</t>
  </si>
  <si>
    <t>Electricity Price</t>
  </si>
  <si>
    <r>
      <t>CAPEX</t>
    </r>
    <r>
      <rPr>
        <vertAlign val="subscript"/>
        <sz val="11"/>
        <color theme="1"/>
        <rFont val="Calibri"/>
        <family val="2"/>
        <scheme val="minor"/>
      </rPr>
      <t>plant</t>
    </r>
  </si>
  <si>
    <r>
      <t>OPEX</t>
    </r>
    <r>
      <rPr>
        <vertAlign val="subscript"/>
        <sz val="11"/>
        <color theme="1"/>
        <rFont val="Calibri"/>
        <family val="2"/>
        <scheme val="minor"/>
      </rPr>
      <t>plant</t>
    </r>
  </si>
  <si>
    <t>Electricity</t>
  </si>
  <si>
    <t>Cash flow</t>
  </si>
  <si>
    <t>Discounted el. cash flow</t>
  </si>
  <si>
    <t>Discounted cash flow</t>
  </si>
  <si>
    <t>H2 compr.</t>
  </si>
  <si>
    <t>Discounted H2 compr.</t>
  </si>
  <si>
    <r>
      <t>Q</t>
    </r>
    <r>
      <rPr>
        <b/>
        <vertAlign val="subscript"/>
        <sz val="12"/>
        <color theme="1"/>
        <rFont val="Calibri"/>
        <family val="2"/>
        <scheme val="minor"/>
      </rPr>
      <t>NH3</t>
    </r>
  </si>
  <si>
    <t>LCOH</t>
  </si>
  <si>
    <r>
      <t>LCOH</t>
    </r>
    <r>
      <rPr>
        <vertAlign val="subscript"/>
        <sz val="18"/>
        <color rgb="FF000000"/>
        <rFont val="Calibri"/>
        <family val="2"/>
        <scheme val="minor"/>
      </rPr>
      <t>NH3 reconversion</t>
    </r>
  </si>
  <si>
    <t>[tpa]</t>
  </si>
  <si>
    <t>Storage</t>
  </si>
  <si>
    <t>H2 mass losses due to ammonia cracking process</t>
  </si>
  <si>
    <t>NH3 reconv. plant efficiency parameters</t>
  </si>
  <si>
    <t>H2 mass losses due to H2 purifying process</t>
  </si>
  <si>
    <r>
      <t>C</t>
    </r>
    <r>
      <rPr>
        <vertAlign val="subscript"/>
        <sz val="12"/>
        <color theme="1"/>
        <rFont val="Calibri"/>
        <family val="2"/>
        <scheme val="minor"/>
      </rPr>
      <t>NH3 reconv. plant</t>
    </r>
  </si>
  <si>
    <r>
      <t>[tpd</t>
    </r>
    <r>
      <rPr>
        <vertAlign val="subscript"/>
        <sz val="12"/>
        <rFont val="Calibri"/>
        <family val="2"/>
        <scheme val="minor"/>
      </rPr>
      <t>NH3</t>
    </r>
    <r>
      <rPr>
        <sz val="12"/>
        <rFont val="Calibri"/>
        <family val="2"/>
        <scheme val="minor"/>
      </rPr>
      <t>]</t>
    </r>
  </si>
  <si>
    <t>NH3 reconv. plant capacity</t>
  </si>
  <si>
    <t>NH3 reconv. plant design parameters</t>
  </si>
  <si>
    <t>Specific Energy Consumption for ammonia cracking process</t>
  </si>
  <si>
    <t>Specific Energy Consumption for H2 purification</t>
  </si>
  <si>
    <t>NH3 reconv. plant plant econonomic parameters</t>
  </si>
  <si>
    <t>NH3 reconv. plant cost scaling factor</t>
  </si>
  <si>
    <t>Base cost of NH3 reconversion plant</t>
  </si>
  <si>
    <t>Base size of NH3 reconversion plant</t>
  </si>
  <si>
    <t>Annual electricity consumption</t>
  </si>
  <si>
    <t>Hydrogen reconverted from ammonia per year</t>
  </si>
  <si>
    <r>
      <t>[t</t>
    </r>
    <r>
      <rPr>
        <vertAlign val="subscript"/>
        <sz val="12"/>
        <color theme="1"/>
        <rFont val="Calibri"/>
        <family val="2"/>
        <scheme val="minor"/>
      </rPr>
      <t>H2</t>
    </r>
    <r>
      <rPr>
        <sz val="12"/>
        <color theme="1"/>
        <rFont val="Calibri"/>
        <family val="2"/>
        <scheme val="minor"/>
      </rPr>
      <t>/a]</t>
    </r>
  </si>
  <si>
    <r>
      <t>LCOH</t>
    </r>
    <r>
      <rPr>
        <vertAlign val="subscript"/>
        <sz val="12"/>
        <color theme="1"/>
        <rFont val="Calibri (Body)"/>
      </rPr>
      <t>NH3 reconv plant</t>
    </r>
  </si>
  <si>
    <r>
      <t>LCOH</t>
    </r>
    <r>
      <rPr>
        <vertAlign val="subscript"/>
        <sz val="12"/>
        <color theme="1"/>
        <rFont val="Calibri"/>
        <family val="2"/>
        <scheme val="minor"/>
      </rPr>
      <t>NH3 reconv plant</t>
    </r>
  </si>
  <si>
    <t>NH3 reconverted to H2</t>
  </si>
  <si>
    <t>Discounted NH3 reconverted to H2</t>
  </si>
  <si>
    <r>
      <t>Q</t>
    </r>
    <r>
      <rPr>
        <b/>
        <vertAlign val="subscript"/>
        <sz val="12"/>
        <color theme="1"/>
        <rFont val="Calibri"/>
        <family val="2"/>
        <scheme val="minor"/>
      </rPr>
      <t>H2</t>
    </r>
  </si>
  <si>
    <r>
      <t>Q</t>
    </r>
    <r>
      <rPr>
        <vertAlign val="subscript"/>
        <sz val="12"/>
        <color theme="1"/>
        <rFont val="Calibri"/>
        <family val="2"/>
        <scheme val="minor"/>
      </rPr>
      <t>H2</t>
    </r>
  </si>
  <si>
    <r>
      <t>Q</t>
    </r>
    <r>
      <rPr>
        <vertAlign val="subscript"/>
        <sz val="12"/>
        <color theme="1"/>
        <rFont val="Calibri"/>
        <family val="2"/>
        <scheme val="minor"/>
      </rPr>
      <t>NH3</t>
    </r>
  </si>
  <si>
    <r>
      <t>LCOH</t>
    </r>
    <r>
      <rPr>
        <vertAlign val="subscript"/>
        <sz val="18"/>
        <color rgb="FF000000"/>
        <rFont val="Calibri"/>
        <family val="2"/>
        <scheme val="minor"/>
      </rPr>
      <t>NH3 conversion</t>
    </r>
  </si>
  <si>
    <t>[kg/a]</t>
  </si>
  <si>
    <t xml:space="preserve">Type of converter for the H-B process synloop: </t>
  </si>
  <si>
    <t>Recycling in the converter</t>
  </si>
  <si>
    <t>Possible hydrogen loss during conversion from H2 to NH3</t>
  </si>
  <si>
    <t>NH3 conv. plant efficiency parameters</t>
  </si>
  <si>
    <r>
      <t>C</t>
    </r>
    <r>
      <rPr>
        <vertAlign val="subscript"/>
        <sz val="12"/>
        <color theme="1"/>
        <rFont val="Calibri"/>
        <family val="2"/>
        <scheme val="minor"/>
      </rPr>
      <t>NH3 conv. plant</t>
    </r>
  </si>
  <si>
    <t>NH3 conv. plant capacity</t>
  </si>
  <si>
    <t>NH3 conv. plant design parameters</t>
  </si>
  <si>
    <r>
      <t>m</t>
    </r>
    <r>
      <rPr>
        <vertAlign val="subscript"/>
        <sz val="12"/>
        <color theme="1"/>
        <rFont val="Calibri"/>
        <family val="2"/>
        <scheme val="minor"/>
      </rPr>
      <t>NH3</t>
    </r>
  </si>
  <si>
    <t>Mass of NH3 converted from the net amount of hydrogen produced annually</t>
  </si>
  <si>
    <r>
      <t>n</t>
    </r>
    <r>
      <rPr>
        <vertAlign val="subscript"/>
        <sz val="12"/>
        <color theme="1"/>
        <rFont val="Calibri"/>
        <family val="2"/>
        <scheme val="minor"/>
      </rPr>
      <t>H2</t>
    </r>
  </si>
  <si>
    <t>[mol]</t>
  </si>
  <si>
    <t>Number of moles of H2 at the beginning of the reaction</t>
  </si>
  <si>
    <r>
      <t>m</t>
    </r>
    <r>
      <rPr>
        <vertAlign val="subscript"/>
        <sz val="12"/>
        <color theme="1"/>
        <rFont val="Calibri"/>
        <family val="2"/>
        <scheme val="minor"/>
      </rPr>
      <t>N2</t>
    </r>
  </si>
  <si>
    <t>[kg]</t>
  </si>
  <si>
    <t>Mass of N2 at the beginning of the reaction</t>
  </si>
  <si>
    <r>
      <t>n</t>
    </r>
    <r>
      <rPr>
        <vertAlign val="subscript"/>
        <sz val="12"/>
        <color theme="1"/>
        <rFont val="Calibri"/>
        <family val="2"/>
        <scheme val="minor"/>
      </rPr>
      <t>N2</t>
    </r>
  </si>
  <si>
    <t>Number of moles of N2 at the beginning of the reaction</t>
  </si>
  <si>
    <r>
      <t>[kWh</t>
    </r>
    <r>
      <rPr>
        <vertAlign val="subscript"/>
        <sz val="11"/>
        <color theme="1"/>
        <rFont val="Calibri"/>
        <family val="2"/>
        <scheme val="minor"/>
      </rPr>
      <t>electricity</t>
    </r>
    <r>
      <rPr>
        <sz val="12"/>
        <color theme="1"/>
        <rFont val="Calibri"/>
        <family val="2"/>
        <scheme val="minor"/>
      </rPr>
      <t>/kg</t>
    </r>
    <r>
      <rPr>
        <vertAlign val="subscript"/>
        <sz val="11"/>
        <color theme="1"/>
        <rFont val="Calibri"/>
        <family val="2"/>
        <scheme val="minor"/>
      </rPr>
      <t>NH3</t>
    </r>
    <r>
      <rPr>
        <sz val="11"/>
        <color theme="1"/>
        <rFont val="Calibri (Body)"/>
      </rPr>
      <t>]</t>
    </r>
  </si>
  <si>
    <t>Specific Energy Consumption of the Haber Bosch process synloop</t>
  </si>
  <si>
    <t>Specific Energy Consumption of the Air Seperation Unit</t>
  </si>
  <si>
    <t>NH3 conv. plant plant econonomic parameters</t>
  </si>
  <si>
    <r>
      <t>f</t>
    </r>
    <r>
      <rPr>
        <vertAlign val="subscript"/>
        <sz val="12"/>
        <color theme="1"/>
        <rFont val="Calibri"/>
        <family val="2"/>
        <scheme val="minor"/>
      </rPr>
      <t>sc, NH3 conv. plant</t>
    </r>
  </si>
  <si>
    <t>NH3 conv. plant cost scaling factor</t>
  </si>
  <si>
    <t>Base cost of the converter for the H-B Process Synloop</t>
  </si>
  <si>
    <t>Base cost of the Air Seperation Unit (ASU)</t>
  </si>
  <si>
    <t>Base size of the NH3 conversion plant</t>
  </si>
  <si>
    <t>Annual H2 converted to NH3</t>
  </si>
  <si>
    <r>
      <t>[t</t>
    </r>
    <r>
      <rPr>
        <vertAlign val="subscript"/>
        <sz val="12"/>
        <color theme="1"/>
        <rFont val="Calibri"/>
        <family val="2"/>
        <scheme val="minor"/>
      </rPr>
      <t>NH3</t>
    </r>
    <r>
      <rPr>
        <sz val="12"/>
        <color theme="1"/>
        <rFont val="Calibri"/>
        <family val="2"/>
        <scheme val="minor"/>
      </rPr>
      <t>/a]</t>
    </r>
  </si>
  <si>
    <t>H2 present in the amount of NH3 converted per year</t>
  </si>
  <si>
    <r>
      <t>LCOH</t>
    </r>
    <r>
      <rPr>
        <vertAlign val="subscript"/>
        <sz val="12"/>
        <color theme="1"/>
        <rFont val="Calibri (Body)"/>
      </rPr>
      <t>NH3 conv plant</t>
    </r>
  </si>
  <si>
    <r>
      <t>LCOH</t>
    </r>
    <r>
      <rPr>
        <vertAlign val="subscript"/>
        <sz val="12"/>
        <color theme="1"/>
        <rFont val="Calibri"/>
        <family val="2"/>
        <scheme val="minor"/>
      </rPr>
      <t>NH3 conv plant</t>
    </r>
  </si>
  <si>
    <t>H2 in the NH3 converted</t>
  </si>
  <si>
    <t>Discounted H2 in the NH3 converted</t>
  </si>
  <si>
    <r>
      <t>LCOH</t>
    </r>
    <r>
      <rPr>
        <vertAlign val="subscript"/>
        <sz val="18"/>
        <color rgb="FF000000"/>
        <rFont val="Calibri"/>
        <family val="2"/>
        <scheme val="minor"/>
      </rPr>
      <t>regasification</t>
    </r>
  </si>
  <si>
    <t>Losses during liquefaction mainly due to boil-off in the ortho-para conversion stage.</t>
  </si>
  <si>
    <t>Regasification plant efficiency parameters</t>
  </si>
  <si>
    <r>
      <t>C</t>
    </r>
    <r>
      <rPr>
        <vertAlign val="subscript"/>
        <sz val="12"/>
        <color theme="1"/>
        <rFont val="Calibri"/>
        <family val="2"/>
        <scheme val="minor"/>
      </rPr>
      <t>regas. plant</t>
    </r>
  </si>
  <si>
    <t>Regasification plant capacity</t>
  </si>
  <si>
    <t>Regasification plant design parameters</t>
  </si>
  <si>
    <t>Specific Energy Consumption (regasification plant electricity use)</t>
  </si>
  <si>
    <t>Regasification plant econonomic parameters</t>
  </si>
  <si>
    <t>Regasification plant cost scaling factor</t>
  </si>
  <si>
    <t>Annual hydrogen evaporated</t>
  </si>
  <si>
    <r>
      <t>[t</t>
    </r>
    <r>
      <rPr>
        <vertAlign val="subscript"/>
        <sz val="12"/>
        <color theme="1"/>
        <rFont val="Calibri"/>
        <family val="2"/>
        <scheme val="minor"/>
      </rPr>
      <t>L</t>
    </r>
    <r>
      <rPr>
        <vertAlign val="subscript"/>
        <sz val="12"/>
        <color theme="1"/>
        <rFont val="Calibri (Body)"/>
      </rPr>
      <t>H2</t>
    </r>
    <r>
      <rPr>
        <sz val="12"/>
        <color theme="1"/>
        <rFont val="Calibri"/>
        <family val="2"/>
        <scheme val="minor"/>
      </rPr>
      <t>]</t>
    </r>
  </si>
  <si>
    <r>
      <t>LCOH</t>
    </r>
    <r>
      <rPr>
        <vertAlign val="subscript"/>
        <sz val="12"/>
        <color theme="1"/>
        <rFont val="Calibri (Body)"/>
      </rPr>
      <t>regasification</t>
    </r>
  </si>
  <si>
    <r>
      <t>LCOH</t>
    </r>
    <r>
      <rPr>
        <vertAlign val="subscript"/>
        <sz val="12"/>
        <color theme="1"/>
        <rFont val="Calibri"/>
        <family val="2"/>
        <scheme val="minor"/>
      </rPr>
      <t>regas plant</t>
    </r>
  </si>
  <si>
    <r>
      <t>[</t>
    </r>
    <r>
      <rPr>
        <vertAlign val="subscript"/>
        <sz val="11"/>
        <color theme="1"/>
        <rFont val="Calibri"/>
        <family val="2"/>
        <scheme val="minor"/>
      </rPr>
      <t>H2</t>
    </r>
    <r>
      <rPr>
        <sz val="12"/>
        <color theme="1"/>
        <rFont val="Calibri"/>
        <family val="2"/>
        <scheme val="minor"/>
      </rPr>
      <t>/a]</t>
    </r>
  </si>
  <si>
    <t>H2 regas.</t>
  </si>
  <si>
    <t>Discounted H2 regas.</t>
  </si>
  <si>
    <r>
      <t>LCOH</t>
    </r>
    <r>
      <rPr>
        <vertAlign val="subscript"/>
        <sz val="18"/>
        <color rgb="FF000000"/>
        <rFont val="Calibri"/>
        <family val="2"/>
        <scheme val="minor"/>
      </rPr>
      <t>liquefaction</t>
    </r>
  </si>
  <si>
    <t>Liquefier plant capacity:</t>
  </si>
  <si>
    <t>Liquefier capacity linked to production capacity</t>
  </si>
  <si>
    <t>Liquefaction plant efficiency parameters</t>
  </si>
  <si>
    <r>
      <t>C</t>
    </r>
    <r>
      <rPr>
        <vertAlign val="subscript"/>
        <sz val="12"/>
        <color theme="1"/>
        <rFont val="Calibri"/>
        <family val="2"/>
        <scheme val="minor"/>
      </rPr>
      <t>liq. plant</t>
    </r>
  </si>
  <si>
    <t>Liq. plant capacity (capacity of the liquefaction plant)</t>
  </si>
  <si>
    <t>Liq. plant design parameters</t>
  </si>
  <si>
    <t>Specific Energy Consumption (electricity needed to convert gaseous H2 into liquified H2)</t>
  </si>
  <si>
    <r>
      <rPr>
        <i/>
        <sz val="12"/>
        <color theme="1"/>
        <rFont val="Calibri"/>
        <family val="2"/>
      </rPr>
      <t>η</t>
    </r>
    <r>
      <rPr>
        <vertAlign val="subscript"/>
        <sz val="12"/>
        <color theme="1"/>
        <rFont val="Calibri"/>
        <family val="2"/>
      </rPr>
      <t>liq. system</t>
    </r>
  </si>
  <si>
    <t>Liq. plant electrical system efficiency</t>
  </si>
  <si>
    <t>IEC</t>
  </si>
  <si>
    <r>
      <t>[kWh</t>
    </r>
    <r>
      <rPr>
        <vertAlign val="subscript"/>
        <sz val="11"/>
        <color theme="1"/>
        <rFont val="Calibri"/>
        <family val="2"/>
        <scheme val="minor"/>
      </rPr>
      <t>electricity</t>
    </r>
    <r>
      <rPr>
        <sz val="12"/>
        <color theme="1"/>
        <rFont val="Calibri"/>
        <family val="2"/>
        <scheme val="minor"/>
      </rPr>
      <t>/kg</t>
    </r>
    <r>
      <rPr>
        <vertAlign val="subscript"/>
        <sz val="11"/>
        <color theme="1"/>
        <rFont val="Calibri"/>
        <family val="2"/>
        <scheme val="minor"/>
      </rPr>
      <t>H2]</t>
    </r>
  </si>
  <si>
    <t>Ideal energy consumption (ideal work of liquefaction)</t>
  </si>
  <si>
    <t xml:space="preserve">    Pressure 1</t>
  </si>
  <si>
    <t>Pressure of the feed hydrogen.</t>
  </si>
  <si>
    <t xml:space="preserve">    Temperature 1</t>
  </si>
  <si>
    <t>[K]</t>
  </si>
  <si>
    <t>Temperature of the feed hydrogen.</t>
  </si>
  <si>
    <t xml:space="preserve">    Entropy 1</t>
  </si>
  <si>
    <r>
      <t>[kJ/kg</t>
    </r>
    <r>
      <rPr>
        <sz val="11"/>
        <color theme="1"/>
        <rFont val="Calibri"/>
        <family val="2"/>
      </rPr>
      <t>∙K]</t>
    </r>
  </si>
  <si>
    <t>Entropy of the feed hydrpgen.</t>
  </si>
  <si>
    <t xml:space="preserve">    Enthalpy 1</t>
  </si>
  <si>
    <t>[kJ/kg]</t>
  </si>
  <si>
    <t>Enthalpy of the feed hydrogen.</t>
  </si>
  <si>
    <t xml:space="preserve">    Pressure 3</t>
  </si>
  <si>
    <t>Pressure of the product liquid hydrogen.</t>
  </si>
  <si>
    <t xml:space="preserve">    Temperature 3</t>
  </si>
  <si>
    <t>Temperature of the product liquid hydrogen.</t>
  </si>
  <si>
    <t xml:space="preserve">    Entropy 3</t>
  </si>
  <si>
    <t>Entropy of the product liquid hydrogen.</t>
  </si>
  <si>
    <t xml:space="preserve">    Enthalpy 3</t>
  </si>
  <si>
    <t>Enthalpy of the product liquid hydrogen.</t>
  </si>
  <si>
    <t>Liq. plant econonomic parameters</t>
  </si>
  <si>
    <t>Liquefier plant cost scaling factor</t>
  </si>
  <si>
    <t>Annual net liquid hydrogen dispensed</t>
  </si>
  <si>
    <r>
      <t>[t</t>
    </r>
    <r>
      <rPr>
        <vertAlign val="subscript"/>
        <sz val="12"/>
        <color theme="1"/>
        <rFont val="Calibri"/>
        <family val="2"/>
        <scheme val="minor"/>
      </rPr>
      <t>L</t>
    </r>
    <r>
      <rPr>
        <vertAlign val="subscript"/>
        <sz val="12"/>
        <color theme="1"/>
        <rFont val="Calibri (Body)"/>
      </rPr>
      <t>H2</t>
    </r>
    <r>
      <rPr>
        <sz val="12"/>
        <color theme="1"/>
        <rFont val="Calibri (Body)"/>
      </rPr>
      <t>/a</t>
    </r>
    <r>
      <rPr>
        <sz val="12"/>
        <color theme="1"/>
        <rFont val="Calibri"/>
        <family val="2"/>
        <scheme val="minor"/>
      </rPr>
      <t>]</t>
    </r>
  </si>
  <si>
    <r>
      <t>LCOH</t>
    </r>
    <r>
      <rPr>
        <vertAlign val="subscript"/>
        <sz val="12"/>
        <color theme="1"/>
        <rFont val="Calibri (Body)"/>
      </rPr>
      <t>liquefaction</t>
    </r>
  </si>
  <si>
    <r>
      <t>LCOH</t>
    </r>
    <r>
      <rPr>
        <vertAlign val="subscript"/>
        <sz val="12"/>
        <color theme="1"/>
        <rFont val="Calibri"/>
        <family val="2"/>
        <scheme val="minor"/>
      </rPr>
      <t>liq. plant</t>
    </r>
  </si>
  <si>
    <r>
      <t>[t</t>
    </r>
    <r>
      <rPr>
        <vertAlign val="subscript"/>
        <sz val="11"/>
        <color theme="1"/>
        <rFont val="Calibri"/>
        <family val="2"/>
        <scheme val="minor"/>
      </rPr>
      <t>LH2</t>
    </r>
    <r>
      <rPr>
        <sz val="12"/>
        <color theme="1"/>
        <rFont val="Calibri"/>
        <family val="2"/>
        <scheme val="minor"/>
      </rPr>
      <t>/a]</t>
    </r>
  </si>
  <si>
    <r>
      <t>[t</t>
    </r>
    <r>
      <rPr>
        <vertAlign val="subscript"/>
        <sz val="12"/>
        <color theme="1"/>
        <rFont val="Calibri"/>
        <family val="2"/>
        <scheme val="minor"/>
      </rPr>
      <t>L</t>
    </r>
    <r>
      <rPr>
        <vertAlign val="subscript"/>
        <sz val="11"/>
        <color theme="1"/>
        <rFont val="Calibri"/>
        <family val="2"/>
        <scheme val="minor"/>
      </rPr>
      <t>H2</t>
    </r>
    <r>
      <rPr>
        <sz val="12"/>
        <color theme="1"/>
        <rFont val="Calibri"/>
        <family val="2"/>
        <scheme val="minor"/>
      </rPr>
      <t>/a]</t>
    </r>
  </si>
  <si>
    <t>H2 liq.</t>
  </si>
  <si>
    <t>Discounted H2 liq.</t>
  </si>
  <si>
    <t>Code</t>
  </si>
  <si>
    <t>Code1</t>
  </si>
  <si>
    <t>Production loc</t>
  </si>
  <si>
    <t>Production method</t>
  </si>
  <si>
    <t>Electrolysis</t>
  </si>
  <si>
    <t>Solar</t>
  </si>
  <si>
    <t>Onshore wind</t>
  </si>
  <si>
    <t>Offshore wind</t>
  </si>
  <si>
    <t>Grid</t>
  </si>
  <si>
    <t>SMR</t>
  </si>
  <si>
    <t>Chile</t>
  </si>
  <si>
    <t>Atacama desert (-22.05°, -69.08°)</t>
  </si>
  <si>
    <t>Magallanes region  (-52.48°, -70.94°)</t>
  </si>
  <si>
    <t>Australia</t>
  </si>
  <si>
    <t>Western Australia (-27.65°, 114.24°)</t>
  </si>
  <si>
    <t>Algeria</t>
  </si>
  <si>
    <t>Saudi Arabia</t>
  </si>
  <si>
    <t>Neom (28.15°, 34.75°)</t>
  </si>
  <si>
    <t>Norway</t>
  </si>
  <si>
    <t>Sources</t>
  </si>
  <si>
    <t>Shipping distances</t>
  </si>
  <si>
    <t>Bertoli et al., 2016</t>
  </si>
  <si>
    <t>Country areas</t>
  </si>
  <si>
    <t>[km^2]</t>
  </si>
  <si>
    <t>statista.com, 2021</t>
  </si>
  <si>
    <t>Shipping distances, adjustments</t>
  </si>
  <si>
    <t>classic.searoutes.com, n.d.</t>
  </si>
  <si>
    <t>Pipeline map</t>
  </si>
  <si>
    <t>ENTSOG, 2021</t>
  </si>
  <si>
    <t>Other assumptions</t>
  </si>
  <si>
    <t>Google Earth, n.d.</t>
  </si>
  <si>
    <t>Supply route</t>
  </si>
  <si>
    <t>Transmission by sea - Distance [km]</t>
  </si>
  <si>
    <t>Transmission by land - Distance [km]</t>
  </si>
  <si>
    <t>Transmission by land - Distance [km] (border/harbor)</t>
  </si>
  <si>
    <t>Destination</t>
  </si>
  <si>
    <t>Chile(Onshore wind)</t>
  </si>
  <si>
    <t>Chile(Solar)</t>
  </si>
  <si>
    <t>Australia(Onshore wind)</t>
  </si>
  <si>
    <t>Australia(Solar)</t>
  </si>
  <si>
    <t>Algeria(Onshore wind)</t>
  </si>
  <si>
    <t>OffPip: possible retrofitting (e.g., Transmed)</t>
  </si>
  <si>
    <t>Algeria(Solar)</t>
  </si>
  <si>
    <t>Algeria()</t>
  </si>
  <si>
    <t>Saudi Arabia(Onshore wind)</t>
  </si>
  <si>
    <t>Saudi Arabia(Solar)</t>
  </si>
  <si>
    <t>Norway()</t>
  </si>
  <si>
    <t>OffPip: possible retrofitting (e.g., Europipe I and II)</t>
  </si>
  <si>
    <t>Qatar()</t>
  </si>
  <si>
    <t>Spain(Solar)</t>
  </si>
  <si>
    <t>OffPip: possible retrofitting (e.g., Franpipe)</t>
  </si>
  <si>
    <t>OffPip: possible retrofitting (e.g., Medgaz)</t>
  </si>
  <si>
    <t>Assumed port of Valencia as starting point. Much lower distances if port in the North of Spain</t>
  </si>
  <si>
    <t>Name</t>
  </si>
  <si>
    <t>UoM</t>
  </si>
  <si>
    <t>[€/kW]</t>
  </si>
  <si>
    <t>[€/MWh]</t>
  </si>
  <si>
    <r>
      <t>CAPEX</t>
    </r>
    <r>
      <rPr>
        <vertAlign val="subscript"/>
        <sz val="12"/>
        <color theme="1"/>
        <rFont val="Calibri (Body)"/>
      </rPr>
      <t>2017</t>
    </r>
  </si>
  <si>
    <t>Ram et al., 2018</t>
  </si>
  <si>
    <t>CAPEX in 2017 (EU value assumed as global value)</t>
  </si>
  <si>
    <r>
      <t>CAPEX</t>
    </r>
    <r>
      <rPr>
        <vertAlign val="subscript"/>
        <sz val="12"/>
        <color theme="1"/>
        <rFont val="Calibri (Body)"/>
      </rPr>
      <t>2030</t>
    </r>
  </si>
  <si>
    <t>CAPEX in 2030 (EU value assumed as global value)</t>
  </si>
  <si>
    <t>LR</t>
  </si>
  <si>
    <t>Moro et Martinez-Duart, 2013</t>
  </si>
  <si>
    <t>Williams et al., 2017</t>
  </si>
  <si>
    <t>Learning rate</t>
  </si>
  <si>
    <t>CAPEX Solar</t>
  </si>
  <si>
    <r>
      <t>LCOE</t>
    </r>
    <r>
      <rPr>
        <vertAlign val="subscript"/>
        <sz val="12"/>
        <color theme="1"/>
        <rFont val="Calibri (Body)"/>
      </rPr>
      <t>Solar</t>
    </r>
  </si>
  <si>
    <t>CAPEX OnW</t>
  </si>
  <si>
    <r>
      <t>LCOE</t>
    </r>
    <r>
      <rPr>
        <vertAlign val="subscript"/>
        <sz val="12"/>
        <color theme="1"/>
        <rFont val="Calibri (Body)"/>
      </rPr>
      <t>Onshore wind</t>
    </r>
  </si>
  <si>
    <t>CAPEX OffW</t>
  </si>
  <si>
    <r>
      <t>LCOE</t>
    </r>
    <r>
      <rPr>
        <vertAlign val="subscript"/>
        <sz val="12"/>
        <color theme="1"/>
        <rFont val="Calibri (Body)"/>
      </rPr>
      <t>Offshore wind</t>
    </r>
  </si>
  <si>
    <t>b</t>
  </si>
  <si>
    <t>Learning index</t>
  </si>
  <si>
    <t>AGR</t>
  </si>
  <si>
    <t>Own calculation, from Soares-Ramos et al., 2020</t>
  </si>
  <si>
    <t>Annual growth rate</t>
  </si>
  <si>
    <t>[% of CAPEX]</t>
  </si>
  <si>
    <t>Annual fixed OPEX, as % of CAPEX</t>
  </si>
  <si>
    <t>LT</t>
  </si>
  <si>
    <t>a%</t>
  </si>
  <si>
    <t>Capacity factor</t>
  </si>
  <si>
    <r>
      <t>LCOH</t>
    </r>
    <r>
      <rPr>
        <vertAlign val="subscript"/>
        <sz val="18"/>
        <color theme="1"/>
        <rFont val="Calibri"/>
        <family val="2"/>
        <scheme val="minor"/>
      </rPr>
      <t>production</t>
    </r>
  </si>
  <si>
    <t>Electrolyzer size [KW]</t>
  </si>
  <si>
    <t>Overwritten</t>
  </si>
  <si>
    <t>Adopted</t>
  </si>
  <si>
    <t>Country:</t>
  </si>
  <si>
    <t>Electricity from</t>
  </si>
  <si>
    <t xml:space="preserve">Electrolyser type: </t>
  </si>
  <si>
    <t>[€/kWh]</t>
  </si>
  <si>
    <t>Electricity input</t>
  </si>
  <si>
    <t>CF</t>
  </si>
  <si>
    <r>
      <t>CAPEX</t>
    </r>
    <r>
      <rPr>
        <vertAlign val="subscript"/>
        <sz val="12"/>
        <color theme="1"/>
        <rFont val="Calibri (Body)"/>
      </rPr>
      <t>2021,1MW</t>
    </r>
  </si>
  <si>
    <r>
      <t>[€/kW</t>
    </r>
    <r>
      <rPr>
        <vertAlign val="subscript"/>
        <sz val="12"/>
        <color theme="1"/>
        <rFont val="Calibri (Body)"/>
      </rPr>
      <t>EL</t>
    </r>
    <r>
      <rPr>
        <sz val="12"/>
        <color theme="1"/>
        <rFont val="Calibri"/>
        <family val="2"/>
        <scheme val="minor"/>
      </rPr>
      <t>]</t>
    </r>
  </si>
  <si>
    <t>CAPEX of electrolyser system, referring to a 1MW system in 2021</t>
  </si>
  <si>
    <t>Electrolyser system</t>
  </si>
  <si>
    <t>OPEX of electrlyser system, as percentage of its CAPEX</t>
  </si>
  <si>
    <r>
      <t>LT</t>
    </r>
    <r>
      <rPr>
        <vertAlign val="subscript"/>
        <sz val="12"/>
        <color theme="1"/>
        <rFont val="Calibri (Body)"/>
      </rPr>
      <t>system</t>
    </r>
  </si>
  <si>
    <t>Lifetime of electrolyser system</t>
  </si>
  <si>
    <r>
      <t>S</t>
    </r>
    <r>
      <rPr>
        <vertAlign val="subscript"/>
        <sz val="12"/>
        <color theme="1"/>
        <rFont val="Calibri (Body)"/>
      </rPr>
      <t>RES</t>
    </r>
    <r>
      <rPr>
        <sz val="12"/>
        <color theme="1"/>
        <rFont val="Calibri"/>
        <family val="2"/>
        <scheme val="minor"/>
      </rPr>
      <t>/S</t>
    </r>
    <r>
      <rPr>
        <vertAlign val="subscript"/>
        <sz val="12"/>
        <color theme="1"/>
        <rFont val="Calibri (Body)"/>
      </rPr>
      <t>EL</t>
    </r>
  </si>
  <si>
    <t>RES to electrolyser capacity ratio (&gt;1, oversizing)</t>
  </si>
  <si>
    <r>
      <t>𝜂</t>
    </r>
    <r>
      <rPr>
        <vertAlign val="subscript"/>
        <sz val="12"/>
        <color theme="1"/>
        <rFont val="Calibri (Body)"/>
      </rPr>
      <t>electrolyser</t>
    </r>
  </si>
  <si>
    <t>Efficiency of electrolyser system (LHV)</t>
  </si>
  <si>
    <t>Degradation 𝜂</t>
  </si>
  <si>
    <t>Efficiency degradation over the lifetime of the stack</t>
  </si>
  <si>
    <t>Electrolyser output pressure</t>
  </si>
  <si>
    <r>
      <t>%</t>
    </r>
    <r>
      <rPr>
        <vertAlign val="subscript"/>
        <sz val="12"/>
        <color theme="1"/>
        <rFont val="Calibri (Body)"/>
      </rPr>
      <t>CAPEX,stack</t>
    </r>
  </si>
  <si>
    <t>CAPEX of electrolyser stack as % of system CAPEX (1MW, 2021)</t>
  </si>
  <si>
    <t>Electrolyser stack</t>
  </si>
  <si>
    <r>
      <t>LT</t>
    </r>
    <r>
      <rPr>
        <vertAlign val="subscript"/>
        <sz val="12"/>
        <color theme="1"/>
        <rFont val="Calibri (Body)"/>
      </rPr>
      <t>stack</t>
    </r>
  </si>
  <si>
    <t>[hours]</t>
  </si>
  <si>
    <t>Lifetime of electrolyser stack</t>
  </si>
  <si>
    <t>Annual growth rate of global electrolyser installed capacity</t>
  </si>
  <si>
    <t>Learning effect</t>
  </si>
  <si>
    <r>
      <t>LR</t>
    </r>
    <r>
      <rPr>
        <vertAlign val="subscript"/>
        <sz val="12"/>
        <color theme="1"/>
        <rFont val="Calibri (Body)"/>
      </rPr>
      <t>stack</t>
    </r>
  </si>
  <si>
    <t>Learning rate of the electrolyser stack</t>
  </si>
  <si>
    <r>
      <t>LR</t>
    </r>
    <r>
      <rPr>
        <vertAlign val="subscript"/>
        <sz val="12"/>
        <color theme="1"/>
        <rFont val="Calibri (Body)"/>
      </rPr>
      <t>aux</t>
    </r>
  </si>
  <si>
    <t>Learning rate of other components</t>
  </si>
  <si>
    <r>
      <t>f</t>
    </r>
    <r>
      <rPr>
        <vertAlign val="subscript"/>
        <sz val="12"/>
        <color theme="1"/>
        <rFont val="Calibri (Body)"/>
      </rPr>
      <t>stack,0</t>
    </r>
  </si>
  <si>
    <t>Scaling factor of the electrolyser stack</t>
  </si>
  <si>
    <t>Scaling effect</t>
  </si>
  <si>
    <r>
      <t>f</t>
    </r>
    <r>
      <rPr>
        <vertAlign val="subscript"/>
        <sz val="12"/>
        <color theme="1"/>
        <rFont val="Calibri (Body)"/>
      </rPr>
      <t>aux</t>
    </r>
  </si>
  <si>
    <t>Scaling factor of other components</t>
  </si>
  <si>
    <r>
      <t>S</t>
    </r>
    <r>
      <rPr>
        <vertAlign val="subscript"/>
        <sz val="12"/>
        <color theme="1"/>
        <rFont val="Calibri (Body)"/>
      </rPr>
      <t>max</t>
    </r>
  </si>
  <si>
    <r>
      <t>[kW</t>
    </r>
    <r>
      <rPr>
        <vertAlign val="subscript"/>
        <sz val="12"/>
        <color theme="1"/>
        <rFont val="Calibri (Body)"/>
      </rPr>
      <t>EL</t>
    </r>
    <r>
      <rPr>
        <sz val="12"/>
        <color theme="1"/>
        <rFont val="Calibri"/>
        <family val="2"/>
        <scheme val="minor"/>
      </rPr>
      <t>]</t>
    </r>
  </si>
  <si>
    <t>Average maximum stack size</t>
  </si>
  <si>
    <r>
      <t>H</t>
    </r>
    <r>
      <rPr>
        <vertAlign val="subscript"/>
        <sz val="12"/>
        <color theme="1"/>
        <rFont val="Calibri (Body)"/>
      </rPr>
      <t>2</t>
    </r>
    <r>
      <rPr>
        <sz val="12"/>
        <color theme="1"/>
        <rFont val="Calibri"/>
        <family val="2"/>
        <scheme val="minor"/>
      </rPr>
      <t>O cost</t>
    </r>
  </si>
  <si>
    <r>
      <t xml:space="preserve">[€/L </t>
    </r>
    <r>
      <rPr>
        <vertAlign val="subscript"/>
        <sz val="12"/>
        <color theme="1"/>
        <rFont val="Calibri (Body)"/>
      </rPr>
      <t>H2O</t>
    </r>
    <r>
      <rPr>
        <sz val="12"/>
        <color theme="1"/>
        <rFont val="Calibri"/>
        <family val="2"/>
        <scheme val="minor"/>
      </rPr>
      <t>]</t>
    </r>
  </si>
  <si>
    <t>Cost of input water</t>
  </si>
  <si>
    <t>Water input</t>
  </si>
  <si>
    <r>
      <t>H</t>
    </r>
    <r>
      <rPr>
        <vertAlign val="subscript"/>
        <sz val="12"/>
        <color theme="1"/>
        <rFont val="Calibri (Body)"/>
      </rPr>
      <t>2</t>
    </r>
    <r>
      <rPr>
        <sz val="12"/>
        <color theme="1"/>
        <rFont val="Calibri"/>
        <family val="2"/>
        <scheme val="minor"/>
      </rPr>
      <t>O need</t>
    </r>
  </si>
  <si>
    <r>
      <t xml:space="preserve">[L </t>
    </r>
    <r>
      <rPr>
        <vertAlign val="subscript"/>
        <sz val="12"/>
        <color theme="1"/>
        <rFont val="Calibri (Body)"/>
      </rPr>
      <t>H2O</t>
    </r>
    <r>
      <rPr>
        <sz val="12"/>
        <color theme="1"/>
        <rFont val="Calibri"/>
        <family val="2"/>
        <scheme val="minor"/>
      </rPr>
      <t>/kg</t>
    </r>
    <r>
      <rPr>
        <vertAlign val="subscript"/>
        <sz val="12"/>
        <color theme="1"/>
        <rFont val="Calibri (Body)"/>
      </rPr>
      <t>H2</t>
    </r>
    <r>
      <rPr>
        <sz val="12"/>
        <color theme="1"/>
        <rFont val="Calibri"/>
        <family val="2"/>
        <scheme val="minor"/>
      </rPr>
      <t>]</t>
    </r>
  </si>
  <si>
    <t xml:space="preserve">Water need, based on reaction stoichiometry </t>
  </si>
  <si>
    <r>
      <t>O</t>
    </r>
    <r>
      <rPr>
        <vertAlign val="subscript"/>
        <sz val="12"/>
        <color theme="1"/>
        <rFont val="Calibri (Body)"/>
      </rPr>
      <t>2</t>
    </r>
    <r>
      <rPr>
        <sz val="12"/>
        <color theme="1"/>
        <rFont val="Calibri"/>
        <family val="2"/>
        <scheme val="minor"/>
      </rPr>
      <t xml:space="preserve"> price</t>
    </r>
  </si>
  <si>
    <r>
      <t>[€/kg</t>
    </r>
    <r>
      <rPr>
        <vertAlign val="subscript"/>
        <sz val="12"/>
        <color theme="1"/>
        <rFont val="Calibri (Body)"/>
      </rPr>
      <t>O2</t>
    </r>
    <r>
      <rPr>
        <sz val="12"/>
        <color theme="1"/>
        <rFont val="Calibri"/>
        <family val="2"/>
        <scheme val="minor"/>
      </rPr>
      <t>]</t>
    </r>
  </si>
  <si>
    <t>Price for oxygen, as a product of the electrolysis</t>
  </si>
  <si>
    <t>Byproducts</t>
  </si>
  <si>
    <r>
      <t>O</t>
    </r>
    <r>
      <rPr>
        <vertAlign val="subscript"/>
        <sz val="12"/>
        <color theme="1"/>
        <rFont val="Calibri (Body)"/>
      </rPr>
      <t>2</t>
    </r>
    <r>
      <rPr>
        <sz val="12"/>
        <color theme="1"/>
        <rFont val="Calibri"/>
        <family val="2"/>
        <scheme val="minor"/>
      </rPr>
      <t xml:space="preserve"> need</t>
    </r>
  </si>
  <si>
    <r>
      <t>[kg</t>
    </r>
    <r>
      <rPr>
        <vertAlign val="subscript"/>
        <sz val="12"/>
        <color theme="1"/>
        <rFont val="Calibri (Body)"/>
      </rPr>
      <t>O2</t>
    </r>
    <r>
      <rPr>
        <sz val="12"/>
        <color theme="1"/>
        <rFont val="Calibri"/>
        <family val="2"/>
        <scheme val="minor"/>
      </rPr>
      <t>/kg</t>
    </r>
    <r>
      <rPr>
        <vertAlign val="subscript"/>
        <sz val="12"/>
        <color theme="1"/>
        <rFont val="Calibri (Body)"/>
      </rPr>
      <t>H2</t>
    </r>
    <r>
      <rPr>
        <sz val="12"/>
        <color theme="1"/>
        <rFont val="Calibri"/>
        <family val="2"/>
        <scheme val="minor"/>
      </rPr>
      <t>]</t>
    </r>
  </si>
  <si>
    <t xml:space="preserve">Oxygen production, based on reaction stoichiometry </t>
  </si>
  <si>
    <r>
      <t>CF</t>
    </r>
    <r>
      <rPr>
        <vertAlign val="subscript"/>
        <sz val="12"/>
        <color theme="1"/>
        <rFont val="Calibri (Body)"/>
      </rPr>
      <t>electrolyser</t>
    </r>
  </si>
  <si>
    <t>Capacity factor of electrolyser system</t>
  </si>
  <si>
    <t>Specific electrolyser CF &amp; CAPEX</t>
  </si>
  <si>
    <r>
      <t>CAPEX</t>
    </r>
    <r>
      <rPr>
        <vertAlign val="subscript"/>
        <sz val="12"/>
        <color theme="1"/>
        <rFont val="Calibri (Body)"/>
      </rPr>
      <t>stack</t>
    </r>
  </si>
  <si>
    <r>
      <t>CAPEX</t>
    </r>
    <r>
      <rPr>
        <vertAlign val="subscript"/>
        <sz val="12"/>
        <color theme="1"/>
        <rFont val="Calibri (Body)"/>
      </rPr>
      <t>electrolyser</t>
    </r>
  </si>
  <si>
    <r>
      <t>[kWh</t>
    </r>
    <r>
      <rPr>
        <vertAlign val="subscript"/>
        <sz val="12"/>
        <color theme="1"/>
        <rFont val="Calibri (Body)"/>
      </rPr>
      <t>electricity</t>
    </r>
    <r>
      <rPr>
        <sz val="12"/>
        <color theme="1"/>
        <rFont val="Calibri"/>
        <family val="2"/>
        <scheme val="minor"/>
      </rPr>
      <t>/kW</t>
    </r>
    <r>
      <rPr>
        <vertAlign val="subscript"/>
        <sz val="12"/>
        <color theme="1"/>
        <rFont val="Calibri (Body)"/>
      </rPr>
      <t>EL</t>
    </r>
    <r>
      <rPr>
        <sz val="12"/>
        <color theme="1"/>
        <rFont val="Calibri"/>
        <family val="2"/>
        <scheme val="minor"/>
      </rPr>
      <t>/a]</t>
    </r>
  </si>
  <si>
    <r>
      <t>LCOH</t>
    </r>
    <r>
      <rPr>
        <vertAlign val="subscript"/>
        <sz val="12"/>
        <color theme="1"/>
        <rFont val="Calibri (Body)"/>
      </rPr>
      <t>production</t>
    </r>
  </si>
  <si>
    <r>
      <t>LCOH</t>
    </r>
    <r>
      <rPr>
        <vertAlign val="subscript"/>
        <sz val="12"/>
        <color theme="1"/>
        <rFont val="Calibri (Body)"/>
      </rPr>
      <t>electrolyser</t>
    </r>
  </si>
  <si>
    <r>
      <t>[€/kWh</t>
    </r>
    <r>
      <rPr>
        <vertAlign val="subscript"/>
        <sz val="12"/>
        <color theme="1"/>
        <rFont val="Calibri (Body)"/>
      </rPr>
      <t>electricity</t>
    </r>
    <r>
      <rPr>
        <sz val="12"/>
        <color theme="1"/>
        <rFont val="Calibri (Body)"/>
      </rPr>
      <t>]</t>
    </r>
  </si>
  <si>
    <r>
      <t>[€/kW</t>
    </r>
    <r>
      <rPr>
        <vertAlign val="subscript"/>
        <sz val="12"/>
        <color theme="1"/>
        <rFont val="Calibri (Body)"/>
      </rPr>
      <t>EL</t>
    </r>
    <r>
      <rPr>
        <sz val="12"/>
        <color theme="1"/>
        <rFont val="Calibri"/>
        <family val="2"/>
        <scheme val="minor"/>
      </rPr>
      <t>/a]</t>
    </r>
  </si>
  <si>
    <r>
      <t>[kg</t>
    </r>
    <r>
      <rPr>
        <vertAlign val="subscript"/>
        <sz val="12"/>
        <color theme="1"/>
        <rFont val="Calibri (Body)"/>
      </rPr>
      <t>H2</t>
    </r>
    <r>
      <rPr>
        <sz val="12"/>
        <color theme="1"/>
        <rFont val="Calibri"/>
        <family val="2"/>
        <scheme val="minor"/>
      </rPr>
      <t>/kW</t>
    </r>
    <r>
      <rPr>
        <vertAlign val="subscript"/>
        <sz val="12"/>
        <color theme="1"/>
        <rFont val="Calibri (Body)"/>
      </rPr>
      <t>EL</t>
    </r>
    <r>
      <rPr>
        <sz val="12"/>
        <color theme="1"/>
        <rFont val="Calibri"/>
        <family val="2"/>
        <scheme val="minor"/>
      </rPr>
      <t>/a]</t>
    </r>
  </si>
  <si>
    <r>
      <rPr>
        <b/>
        <u/>
        <sz val="12"/>
        <color theme="1"/>
        <rFont val="Calibri (Body)"/>
      </rPr>
      <t xml:space="preserve">OBS
</t>
    </r>
    <r>
      <rPr>
        <sz val="12"/>
        <color theme="1"/>
        <rFont val="Calibri"/>
        <family val="2"/>
        <scheme val="minor"/>
      </rPr>
      <t>[€/kW</t>
    </r>
    <r>
      <rPr>
        <vertAlign val="subscript"/>
        <sz val="12"/>
        <color theme="1"/>
        <rFont val="Calibri (Body)"/>
      </rPr>
      <t>EL</t>
    </r>
    <r>
      <rPr>
        <sz val="12"/>
        <color theme="1"/>
        <rFont val="Calibri"/>
        <family val="2"/>
        <scheme val="minor"/>
      </rPr>
      <t>/a] has the meaning of euros per unit of installed electrolyzer capacity in one year of operations</t>
    </r>
  </si>
  <si>
    <t>Grid el. cost</t>
  </si>
  <si>
    <t>Stack hours</t>
  </si>
  <si>
    <r>
      <t>CAPEX</t>
    </r>
    <r>
      <rPr>
        <vertAlign val="subscript"/>
        <sz val="12"/>
        <color theme="1"/>
        <rFont val="Calibri (Body)"/>
      </rPr>
      <t>system</t>
    </r>
  </si>
  <si>
    <r>
      <t>OPEX</t>
    </r>
    <r>
      <rPr>
        <vertAlign val="subscript"/>
        <sz val="12"/>
        <color theme="1"/>
        <rFont val="Calibri (Body)"/>
      </rPr>
      <t>system</t>
    </r>
  </si>
  <si>
    <t>Grid electricity</t>
  </si>
  <si>
    <t>Water</t>
  </si>
  <si>
    <t>O2 sale</t>
  </si>
  <si>
    <t>H2 prod.</t>
  </si>
  <si>
    <t>Discounted H2 prod.</t>
  </si>
  <si>
    <t>Plant size [MW]</t>
  </si>
  <si>
    <t>CCS?</t>
  </si>
  <si>
    <t>Which fuel?</t>
  </si>
  <si>
    <r>
      <t>CAPEX</t>
    </r>
    <r>
      <rPr>
        <vertAlign val="subscript"/>
        <sz val="12"/>
        <color theme="1"/>
        <rFont val="Calibri (Body)"/>
      </rPr>
      <t>SMR,2021,300MW</t>
    </r>
  </si>
  <si>
    <t>CAPEX of SMR, referring to a reference 300MW plant in 2021</t>
  </si>
  <si>
    <t>Plant CAPEX</t>
  </si>
  <si>
    <r>
      <t>CAPEX</t>
    </r>
    <r>
      <rPr>
        <vertAlign val="subscript"/>
        <sz val="12"/>
        <color theme="1"/>
        <rFont val="Calibri (Body)"/>
      </rPr>
      <t>cc,2021,300MW</t>
    </r>
  </si>
  <si>
    <t>CAPEX of CO2 capture system, referring to a reference 300MW plant in 2021</t>
  </si>
  <si>
    <r>
      <t>CAPEX</t>
    </r>
    <r>
      <rPr>
        <vertAlign val="subscript"/>
        <sz val="12"/>
        <color theme="1"/>
        <rFont val="Calibri (Body)"/>
      </rPr>
      <t>plant,2021,300MW</t>
    </r>
  </si>
  <si>
    <t>Overall CAPEX, referring to a reference 300MW plant in 2021</t>
  </si>
  <si>
    <r>
      <t>LR</t>
    </r>
    <r>
      <rPr>
        <vertAlign val="subscript"/>
        <sz val="12"/>
        <color theme="1"/>
        <rFont val="Calibri (Body)"/>
      </rPr>
      <t>SMR</t>
    </r>
  </si>
  <si>
    <t>Learning rate of SMR plant (w/out CO2 capture)</t>
  </si>
  <si>
    <t>Learning and scaling effects</t>
  </si>
  <si>
    <r>
      <t>LR</t>
    </r>
    <r>
      <rPr>
        <vertAlign val="subscript"/>
        <sz val="12"/>
        <color theme="1"/>
        <rFont val="Calibri (Body)"/>
      </rPr>
      <t>cc</t>
    </r>
  </si>
  <si>
    <t>Learning rate of CO2 capture components</t>
  </si>
  <si>
    <r>
      <t>AGR</t>
    </r>
    <r>
      <rPr>
        <vertAlign val="subscript"/>
        <sz val="12"/>
        <color theme="1"/>
        <rFont val="Calibri"/>
        <family val="2"/>
        <scheme val="minor"/>
      </rPr>
      <t>SMR</t>
    </r>
  </si>
  <si>
    <t>Annual growth rate of SMR plants</t>
  </si>
  <si>
    <r>
      <t>AGR</t>
    </r>
    <r>
      <rPr>
        <vertAlign val="subscript"/>
        <sz val="12"/>
        <color theme="1"/>
        <rFont val="Calibri"/>
        <family val="2"/>
        <scheme val="minor"/>
      </rPr>
      <t>CC</t>
    </r>
  </si>
  <si>
    <t>Annual growth rate of CO2 capture components</t>
  </si>
  <si>
    <r>
      <t>f</t>
    </r>
    <r>
      <rPr>
        <vertAlign val="subscript"/>
        <sz val="12"/>
        <color theme="1"/>
        <rFont val="Calibri (Body)"/>
      </rPr>
      <t>plant</t>
    </r>
  </si>
  <si>
    <t>Scaling factor of whole plant (SMR + CCS)</t>
  </si>
  <si>
    <t>OPEX of SMR plant, as percentage of its CAPEX</t>
  </si>
  <si>
    <t>Plant parameters</t>
  </si>
  <si>
    <r>
      <t>LT</t>
    </r>
    <r>
      <rPr>
        <vertAlign val="subscript"/>
        <sz val="12"/>
        <color theme="1"/>
        <rFont val="Calibri (Body)"/>
      </rPr>
      <t>plant</t>
    </r>
  </si>
  <si>
    <t>Lifetime of SMR plant</t>
  </si>
  <si>
    <r>
      <t>CF</t>
    </r>
    <r>
      <rPr>
        <vertAlign val="subscript"/>
        <sz val="12"/>
        <color theme="1"/>
        <rFont val="Calibri (Body)"/>
      </rPr>
      <t>plant</t>
    </r>
  </si>
  <si>
    <t>Capacity factor of SMR plant</t>
  </si>
  <si>
    <t>NG need as feedstock</t>
  </si>
  <si>
    <r>
      <t>[kg</t>
    </r>
    <r>
      <rPr>
        <vertAlign val="subscript"/>
        <sz val="12"/>
        <color theme="1"/>
        <rFont val="Calibri (Body)"/>
      </rPr>
      <t>NG</t>
    </r>
    <r>
      <rPr>
        <sz val="12"/>
        <color theme="1"/>
        <rFont val="Calibri"/>
        <family val="2"/>
        <scheme val="minor"/>
      </rPr>
      <t>/kg</t>
    </r>
    <r>
      <rPr>
        <vertAlign val="subscript"/>
        <sz val="12"/>
        <color theme="1"/>
        <rFont val="Calibri (Body)"/>
      </rPr>
      <t>H2</t>
    </r>
    <r>
      <rPr>
        <sz val="12"/>
        <color theme="1"/>
        <rFont val="Calibri"/>
        <family val="2"/>
        <scheme val="minor"/>
      </rPr>
      <t>]</t>
    </r>
  </si>
  <si>
    <t>Natural gas need as feedstock</t>
  </si>
  <si>
    <t>Natural gas need</t>
  </si>
  <si>
    <t>NG need as fuel</t>
  </si>
  <si>
    <t>Natural gas need as fuel</t>
  </si>
  <si>
    <t>Electricity surplus</t>
  </si>
  <si>
    <r>
      <t>[kWh</t>
    </r>
    <r>
      <rPr>
        <vertAlign val="subscript"/>
        <sz val="12"/>
        <color theme="1"/>
        <rFont val="Calibri (Body)"/>
      </rPr>
      <t>el</t>
    </r>
    <r>
      <rPr>
        <sz val="12"/>
        <color theme="1"/>
        <rFont val="Calibri"/>
        <family val="2"/>
        <scheme val="minor"/>
      </rPr>
      <t>/kg</t>
    </r>
    <r>
      <rPr>
        <vertAlign val="subscript"/>
        <sz val="12"/>
        <color theme="1"/>
        <rFont val="Calibri (Body)"/>
      </rPr>
      <t>H2</t>
    </r>
    <r>
      <rPr>
        <sz val="12"/>
        <color theme="1"/>
        <rFont val="Calibri"/>
        <family val="2"/>
        <scheme val="minor"/>
      </rPr>
      <t>]</t>
    </r>
  </si>
  <si>
    <t>Electricity surplus exported to the grid, per kg of output H2</t>
  </si>
  <si>
    <t>El. surplus</t>
  </si>
  <si>
    <t>Average gas price</t>
  </si>
  <si>
    <r>
      <t>[ €/kWh</t>
    </r>
    <r>
      <rPr>
        <vertAlign val="subscript"/>
        <sz val="12"/>
        <color theme="1"/>
        <rFont val="Calibri (Body)"/>
      </rPr>
      <t xml:space="preserve">NG,HHV </t>
    </r>
    <r>
      <rPr>
        <sz val="12"/>
        <color theme="1"/>
        <rFont val="Calibri"/>
        <family val="2"/>
        <scheme val="minor"/>
      </rPr>
      <t>]</t>
    </r>
  </si>
  <si>
    <t>Price of gas, average annual value</t>
  </si>
  <si>
    <t>External costs</t>
  </si>
  <si>
    <t>Average feed-in el. price</t>
  </si>
  <si>
    <r>
      <t>[ €/kWh</t>
    </r>
    <r>
      <rPr>
        <vertAlign val="subscript"/>
        <sz val="12"/>
        <color theme="1"/>
        <rFont val="Calibri (Body)"/>
      </rPr>
      <t xml:space="preserve">el </t>
    </r>
    <r>
      <rPr>
        <sz val="12"/>
        <color theme="1"/>
        <rFont val="Calibri"/>
        <family val="2"/>
        <scheme val="minor"/>
      </rPr>
      <t>]</t>
    </r>
  </si>
  <si>
    <t>Average feed-in electricity price</t>
  </si>
  <si>
    <r>
      <t>CO</t>
    </r>
    <r>
      <rPr>
        <vertAlign val="subscript"/>
        <sz val="12"/>
        <color theme="1"/>
        <rFont val="Calibri (Body)"/>
      </rPr>
      <t>2</t>
    </r>
    <r>
      <rPr>
        <sz val="12"/>
        <color theme="1"/>
        <rFont val="Calibri"/>
        <family val="2"/>
        <scheme val="minor"/>
      </rPr>
      <t xml:space="preserve"> T&amp;S cost</t>
    </r>
  </si>
  <si>
    <r>
      <t>[ €/t</t>
    </r>
    <r>
      <rPr>
        <vertAlign val="subscript"/>
        <sz val="12"/>
        <color theme="1"/>
        <rFont val="Calibri (Body)"/>
      </rPr>
      <t xml:space="preserve">CO2 </t>
    </r>
    <r>
      <rPr>
        <sz val="12"/>
        <color theme="1"/>
        <rFont val="Calibri"/>
        <family val="2"/>
        <scheme val="minor"/>
      </rPr>
      <t>]</t>
    </r>
  </si>
  <si>
    <t>Cost for transporting and storing captured CO2</t>
  </si>
  <si>
    <t>Average ETS price</t>
  </si>
  <si>
    <t>Price of emission allowances for emitted CO2, average annual value</t>
  </si>
  <si>
    <r>
      <t>CO</t>
    </r>
    <r>
      <rPr>
        <vertAlign val="subscript"/>
        <sz val="12"/>
        <color theme="1"/>
        <rFont val="Calibri (Body)"/>
      </rPr>
      <t>2</t>
    </r>
    <r>
      <rPr>
        <sz val="12"/>
        <color theme="1"/>
        <rFont val="Calibri"/>
        <family val="2"/>
        <scheme val="minor"/>
      </rPr>
      <t xml:space="preserve"> captured%</t>
    </r>
  </si>
  <si>
    <t>% of emission captured and then stored</t>
  </si>
  <si>
    <r>
      <t>CO</t>
    </r>
    <r>
      <rPr>
        <vertAlign val="subscript"/>
        <sz val="12"/>
        <color theme="1"/>
        <rFont val="Calibri (Body)"/>
      </rPr>
      <t>2</t>
    </r>
    <r>
      <rPr>
        <sz val="12"/>
        <color theme="1"/>
        <rFont val="Calibri"/>
        <family val="2"/>
        <scheme val="minor"/>
      </rPr>
      <t xml:space="preserve"> capture</t>
    </r>
  </si>
  <si>
    <r>
      <t>CAPEX</t>
    </r>
    <r>
      <rPr>
        <vertAlign val="subscript"/>
        <sz val="12"/>
        <color theme="1"/>
        <rFont val="Calibri (Body)"/>
      </rPr>
      <t>SMR</t>
    </r>
  </si>
  <si>
    <t>Specific plant CAPEX</t>
  </si>
  <si>
    <r>
      <t>CAPEX</t>
    </r>
    <r>
      <rPr>
        <vertAlign val="subscript"/>
        <sz val="12"/>
        <color theme="1"/>
        <rFont val="Calibri (Body)"/>
      </rPr>
      <t>cc</t>
    </r>
  </si>
  <si>
    <r>
      <t>CAPEX</t>
    </r>
    <r>
      <rPr>
        <vertAlign val="subscript"/>
        <sz val="12"/>
        <color theme="1"/>
        <rFont val="Calibri (Body)"/>
      </rPr>
      <t>plant</t>
    </r>
  </si>
  <si>
    <t>Natural gas annual consumption</t>
  </si>
  <si>
    <r>
      <t>[kWh</t>
    </r>
    <r>
      <rPr>
        <vertAlign val="subscript"/>
        <sz val="12"/>
        <color theme="1"/>
        <rFont val="Calibri (Body)"/>
      </rPr>
      <t>NG,HHV</t>
    </r>
    <r>
      <rPr>
        <sz val="12"/>
        <color theme="1"/>
        <rFont val="Calibri"/>
        <family val="2"/>
        <scheme val="minor"/>
      </rPr>
      <t>/kW/a]</t>
    </r>
  </si>
  <si>
    <r>
      <t>CO</t>
    </r>
    <r>
      <rPr>
        <vertAlign val="subscript"/>
        <sz val="12"/>
        <color theme="1"/>
        <rFont val="Calibri (Body)"/>
      </rPr>
      <t>2</t>
    </r>
    <r>
      <rPr>
        <sz val="12"/>
        <color theme="1"/>
        <rFont val="Calibri"/>
        <family val="2"/>
        <scheme val="minor"/>
      </rPr>
      <t xml:space="preserve"> produced</t>
    </r>
  </si>
  <si>
    <r>
      <t>[ t</t>
    </r>
    <r>
      <rPr>
        <vertAlign val="subscript"/>
        <sz val="12"/>
        <color theme="1"/>
        <rFont val="Calibri (Body)"/>
      </rPr>
      <t>CO2</t>
    </r>
    <r>
      <rPr>
        <sz val="12"/>
        <color theme="1"/>
        <rFont val="Calibri (Body)"/>
      </rPr>
      <t>/kg</t>
    </r>
    <r>
      <rPr>
        <vertAlign val="subscript"/>
        <sz val="12"/>
        <color theme="1"/>
        <rFont val="Calibri (Body)"/>
      </rPr>
      <t>H2</t>
    </r>
    <r>
      <rPr>
        <sz val="12"/>
        <color theme="1"/>
        <rFont val="Calibri (Body)"/>
      </rPr>
      <t xml:space="preserve"> </t>
    </r>
    <r>
      <rPr>
        <sz val="12"/>
        <color theme="1"/>
        <rFont val="Calibri"/>
        <family val="2"/>
        <scheme val="minor"/>
      </rPr>
      <t>]</t>
    </r>
  </si>
  <si>
    <r>
      <t>[ t</t>
    </r>
    <r>
      <rPr>
        <vertAlign val="subscript"/>
        <sz val="12"/>
        <color theme="1"/>
        <rFont val="Calibri (Body)"/>
      </rPr>
      <t>CO2</t>
    </r>
    <r>
      <rPr>
        <sz val="12"/>
        <color theme="1"/>
        <rFont val="Calibri (Body)"/>
      </rPr>
      <t xml:space="preserve">/kW </t>
    </r>
    <r>
      <rPr>
        <sz val="12"/>
        <color theme="1"/>
        <rFont val="Calibri"/>
        <family val="2"/>
        <scheme val="minor"/>
      </rPr>
      <t>]</t>
    </r>
  </si>
  <si>
    <t>of which captured</t>
  </si>
  <si>
    <t>H2 annual production</t>
  </si>
  <si>
    <t>[kg/kW/a]</t>
  </si>
  <si>
    <r>
      <t>LCOH</t>
    </r>
    <r>
      <rPr>
        <vertAlign val="subscript"/>
        <sz val="12"/>
        <color theme="1"/>
        <rFont val="Calibri (Body)"/>
      </rPr>
      <t>plant</t>
    </r>
  </si>
  <si>
    <r>
      <t>LCOH</t>
    </r>
    <r>
      <rPr>
        <vertAlign val="subscript"/>
        <sz val="12"/>
        <color theme="1"/>
        <rFont val="Calibri (Body)"/>
      </rPr>
      <t>gas</t>
    </r>
  </si>
  <si>
    <r>
      <t>LCOH</t>
    </r>
    <r>
      <rPr>
        <vertAlign val="subscript"/>
        <sz val="12"/>
        <color theme="1"/>
        <rFont val="Calibri (Body)"/>
      </rPr>
      <t>CO2 ETS</t>
    </r>
  </si>
  <si>
    <r>
      <t>LCOH</t>
    </r>
    <r>
      <rPr>
        <vertAlign val="subscript"/>
        <sz val="12"/>
        <color theme="1"/>
        <rFont val="Calibri (Body)"/>
      </rPr>
      <t>CO2 T&amp;S</t>
    </r>
  </si>
  <si>
    <r>
      <t>[€/kWh</t>
    </r>
    <r>
      <rPr>
        <vertAlign val="subscript"/>
        <sz val="12"/>
        <color theme="1"/>
        <rFont val="Calibri (Body)"/>
      </rPr>
      <t>gas,HHV</t>
    </r>
    <r>
      <rPr>
        <sz val="12"/>
        <color theme="1"/>
        <rFont val="Calibri (Body)"/>
      </rPr>
      <t>]</t>
    </r>
  </si>
  <si>
    <r>
      <t>[€/t</t>
    </r>
    <r>
      <rPr>
        <vertAlign val="subscript"/>
        <sz val="12"/>
        <color theme="1"/>
        <rFont val="Calibri (Body)"/>
      </rPr>
      <t>CO2</t>
    </r>
    <r>
      <rPr>
        <sz val="12"/>
        <color theme="1"/>
        <rFont val="Calibri (Body)"/>
      </rPr>
      <t>]</t>
    </r>
  </si>
  <si>
    <t>[€/kW/a]</t>
  </si>
  <si>
    <r>
      <t>[kg</t>
    </r>
    <r>
      <rPr>
        <vertAlign val="subscript"/>
        <sz val="12"/>
        <color theme="1"/>
        <rFont val="Calibri (Body)"/>
      </rPr>
      <t>H2</t>
    </r>
    <r>
      <rPr>
        <sz val="12"/>
        <color theme="1"/>
        <rFont val="Calibri"/>
        <family val="2"/>
        <scheme val="minor"/>
      </rPr>
      <t>/kW/a]</t>
    </r>
  </si>
  <si>
    <t>Gas price</t>
  </si>
  <si>
    <r>
      <t>CO</t>
    </r>
    <r>
      <rPr>
        <vertAlign val="subscript"/>
        <sz val="12"/>
        <color theme="1"/>
        <rFont val="Calibri (Body)"/>
      </rPr>
      <t>2</t>
    </r>
    <r>
      <rPr>
        <sz val="12"/>
        <color theme="1"/>
        <rFont val="Calibri"/>
        <family val="2"/>
        <scheme val="minor"/>
      </rPr>
      <t xml:space="preserve"> cost</t>
    </r>
  </si>
  <si>
    <t>Feed-in electricity price</t>
  </si>
  <si>
    <r>
      <t>OPEX</t>
    </r>
    <r>
      <rPr>
        <vertAlign val="subscript"/>
        <sz val="12"/>
        <color theme="1"/>
        <rFont val="Calibri (Body)"/>
      </rPr>
      <t>plant</t>
    </r>
  </si>
  <si>
    <t>Gas cost</t>
  </si>
  <si>
    <t>CO2 T&amp;S</t>
  </si>
  <si>
    <t>ETS price</t>
  </si>
  <si>
    <t>Surplus electricity</t>
  </si>
  <si>
    <t>Discounted gas cash flow</t>
  </si>
  <si>
    <t>Discounted CO2 T&amp;S flow</t>
  </si>
  <si>
    <t>Discounted CO2 ETS cash flow</t>
  </si>
  <si>
    <t>Discounted surplus electricity</t>
  </si>
  <si>
    <t>CAPEX of pyrolysis plant</t>
  </si>
  <si>
    <r>
      <t>y</t>
    </r>
    <r>
      <rPr>
        <vertAlign val="subscript"/>
        <sz val="12"/>
        <color theme="1"/>
        <rFont val="Calibri (Body)"/>
      </rPr>
      <t>LF10</t>
    </r>
  </si>
  <si>
    <t>Year in which Lang factor equal to 0.6</t>
  </si>
  <si>
    <t>OPEX of pyrolysis plant, as percentage of its CAPEX</t>
  </si>
  <si>
    <t>Lifetime of pyrolysis plant</t>
  </si>
  <si>
    <t>Capacity factor of pyrolysis plant</t>
  </si>
  <si>
    <r>
      <t>NG</t>
    </r>
    <r>
      <rPr>
        <vertAlign val="subscript"/>
        <sz val="12"/>
        <color theme="1"/>
        <rFont val="Calibri (Body)"/>
      </rPr>
      <t>need</t>
    </r>
  </si>
  <si>
    <r>
      <t>[ kg</t>
    </r>
    <r>
      <rPr>
        <vertAlign val="subscript"/>
        <sz val="12"/>
        <color theme="1"/>
        <rFont val="Calibri (Body)"/>
      </rPr>
      <t>NG</t>
    </r>
    <r>
      <rPr>
        <sz val="12"/>
        <color theme="1"/>
        <rFont val="Calibri (Body)"/>
      </rPr>
      <t>/kg</t>
    </r>
    <r>
      <rPr>
        <vertAlign val="subscript"/>
        <sz val="12"/>
        <color theme="1"/>
        <rFont val="Calibri (Body)"/>
      </rPr>
      <t>H2</t>
    </r>
    <r>
      <rPr>
        <sz val="12"/>
        <color theme="1"/>
        <rFont val="Calibri (Body)"/>
      </rPr>
      <t xml:space="preserve"> </t>
    </r>
    <r>
      <rPr>
        <sz val="12"/>
        <color theme="1"/>
        <rFont val="Calibri"/>
        <family val="2"/>
        <scheme val="minor"/>
      </rPr>
      <t>]</t>
    </r>
  </si>
  <si>
    <r>
      <t>C</t>
    </r>
    <r>
      <rPr>
        <vertAlign val="subscript"/>
        <sz val="12"/>
        <color theme="1"/>
        <rFont val="Calibri (Body)"/>
      </rPr>
      <t>solid</t>
    </r>
    <r>
      <rPr>
        <sz val="12"/>
        <color theme="1"/>
        <rFont val="Calibri"/>
        <family val="2"/>
        <scheme val="minor"/>
      </rPr>
      <t xml:space="preserve"> price</t>
    </r>
  </si>
  <si>
    <r>
      <t>[ €/kg</t>
    </r>
    <r>
      <rPr>
        <vertAlign val="subscript"/>
        <sz val="12"/>
        <color theme="1"/>
        <rFont val="Calibri (Body)"/>
      </rPr>
      <t xml:space="preserve">C </t>
    </r>
    <r>
      <rPr>
        <sz val="12"/>
        <color theme="1"/>
        <rFont val="Calibri"/>
        <family val="2"/>
        <scheme val="minor"/>
      </rPr>
      <t>]</t>
    </r>
  </si>
  <si>
    <t>Price of solid carbon</t>
  </si>
  <si>
    <t>Solid carbon</t>
  </si>
  <si>
    <t>Include revenues from solid carbon?</t>
  </si>
  <si>
    <t>Carbon yield</t>
  </si>
  <si>
    <r>
      <t>[ kg</t>
    </r>
    <r>
      <rPr>
        <vertAlign val="subscript"/>
        <sz val="12"/>
        <color theme="1"/>
        <rFont val="Calibri (Body)"/>
      </rPr>
      <t>C</t>
    </r>
    <r>
      <rPr>
        <sz val="12"/>
        <color theme="1"/>
        <rFont val="Calibri (Body)"/>
      </rPr>
      <t>/kg</t>
    </r>
    <r>
      <rPr>
        <vertAlign val="subscript"/>
        <sz val="12"/>
        <color theme="1"/>
        <rFont val="Calibri (Body)"/>
      </rPr>
      <t>H2</t>
    </r>
    <r>
      <rPr>
        <sz val="12"/>
        <color theme="1"/>
        <rFont val="Calibri (Body)"/>
      </rPr>
      <t xml:space="preserve"> </t>
    </r>
    <r>
      <rPr>
        <sz val="12"/>
        <color theme="1"/>
        <rFont val="Calibri"/>
        <family val="2"/>
        <scheme val="minor"/>
      </rPr>
      <t>]</t>
    </r>
  </si>
  <si>
    <t>Total CO2 produced (captured+emitted)</t>
  </si>
  <si>
    <r>
      <t>LCOH</t>
    </r>
    <r>
      <rPr>
        <vertAlign val="subscript"/>
        <sz val="12"/>
        <color theme="1"/>
        <rFont val="Calibri (Body)"/>
      </rPr>
      <t>solid C</t>
    </r>
  </si>
  <si>
    <t>Discounted solid C cash flow</t>
  </si>
  <si>
    <t>GLOBAL VALUES</t>
  </si>
  <si>
    <t>ELECTROLYZER VALUES</t>
  </si>
  <si>
    <t>Electrolyzer technology</t>
  </si>
  <si>
    <t>SMR VALUES</t>
  </si>
  <si>
    <t>Steam methane reforming</t>
  </si>
  <si>
    <t>PYROLYSIS VALUES</t>
  </si>
  <si>
    <t>Country-specific values</t>
  </si>
  <si>
    <t>Countries</t>
  </si>
  <si>
    <t>AEL</t>
  </si>
  <si>
    <t>PEM</t>
  </si>
  <si>
    <t>SOEC</t>
  </si>
  <si>
    <t>AEM</t>
  </si>
  <si>
    <t>Value</t>
  </si>
  <si>
    <t>H2O Need</t>
  </si>
  <si>
    <t>[L H2O/kgH2]</t>
  </si>
  <si>
    <t>Beswick et al., 2021</t>
  </si>
  <si>
    <r>
      <t>[€</t>
    </r>
    <r>
      <rPr>
        <vertAlign val="subscript"/>
        <sz val="12"/>
        <color theme="1"/>
        <rFont val="Calibri"/>
        <family val="2"/>
        <scheme val="minor"/>
      </rPr>
      <t>2021</t>
    </r>
    <r>
      <rPr>
        <sz val="12"/>
        <color theme="1"/>
        <rFont val="Calibri"/>
        <family val="2"/>
        <scheme val="minor"/>
      </rPr>
      <t>/kW]</t>
    </r>
  </si>
  <si>
    <t>Böhm et al., 2019</t>
  </si>
  <si>
    <r>
      <t>CAPEX</t>
    </r>
    <r>
      <rPr>
        <vertAlign val="subscript"/>
        <sz val="12"/>
        <color theme="1"/>
        <rFont val="Calibri (Body)"/>
      </rPr>
      <t>noCCS, 2021,300MW</t>
    </r>
  </si>
  <si>
    <t>Collodi et al., 2017</t>
  </si>
  <si>
    <r>
      <t>CAPEX</t>
    </r>
    <r>
      <rPr>
        <vertAlign val="subscript"/>
        <sz val="12"/>
        <color theme="1"/>
        <rFont val="Calibri (Body)"/>
      </rPr>
      <t>2021</t>
    </r>
  </si>
  <si>
    <t>Parkinson et al., 2017</t>
  </si>
  <si>
    <r>
      <t>CF</t>
    </r>
    <r>
      <rPr>
        <vertAlign val="subscript"/>
        <sz val="12"/>
        <color theme="1"/>
        <rFont val="Calibri (Body)"/>
      </rPr>
      <t>solar</t>
    </r>
  </si>
  <si>
    <t>Gonzalez-Aparicio et al., 2017</t>
  </si>
  <si>
    <t>Staffell et Pfenninger, 2016</t>
  </si>
  <si>
    <t>Drenkard et Mirakyan, 2021</t>
  </si>
  <si>
    <t>O2 prod</t>
  </si>
  <si>
    <t>[kg O2/kg H2]</t>
  </si>
  <si>
    <t>Maggio et al., 2022</t>
  </si>
  <si>
    <r>
      <t>CAPEX</t>
    </r>
    <r>
      <rPr>
        <vertAlign val="subscript"/>
        <sz val="12"/>
        <color theme="1"/>
        <rFont val="Calibri (Body)"/>
      </rPr>
      <t>CCS&amp;H2rich,300MW</t>
    </r>
  </si>
  <si>
    <r>
      <t>CF</t>
    </r>
    <r>
      <rPr>
        <vertAlign val="subscript"/>
        <sz val="12"/>
        <color theme="1"/>
        <rFont val="Calibri (Body)"/>
      </rPr>
      <t>offshore wind</t>
    </r>
  </si>
  <si>
    <t>Dalla Longa et al., 2018</t>
  </si>
  <si>
    <t>Unused steam</t>
  </si>
  <si>
    <r>
      <t>CAPEX</t>
    </r>
    <r>
      <rPr>
        <vertAlign val="subscript"/>
        <sz val="12"/>
        <color theme="1"/>
        <rFont val="Calibri (Body)"/>
      </rPr>
      <t>90%CCS,300MW</t>
    </r>
  </si>
  <si>
    <t>Assumption</t>
  </si>
  <si>
    <r>
      <t>CF</t>
    </r>
    <r>
      <rPr>
        <vertAlign val="subscript"/>
        <sz val="12"/>
        <color theme="1"/>
        <rFont val="Calibri (Body)"/>
      </rPr>
      <t>onshore wind</t>
    </r>
  </si>
  <si>
    <t>Steam 𝛥h (20-800°C)</t>
  </si>
  <si>
    <t>[kWh/kg_H2O]</t>
  </si>
  <si>
    <r>
      <t>%</t>
    </r>
    <r>
      <rPr>
        <vertAlign val="subscript"/>
        <sz val="12"/>
        <color theme="1"/>
        <rFont val="Calibri (Body)"/>
      </rPr>
      <t>CAPEX,H2rich capture</t>
    </r>
  </si>
  <si>
    <t>LTplant</t>
  </si>
  <si>
    <t>H2O cost</t>
  </si>
  <si>
    <t>[€/L_H2O]</t>
  </si>
  <si>
    <t>Assumption: negligible</t>
  </si>
  <si>
    <t>[kWh/kg_H2]</t>
  </si>
  <si>
    <t>Zauner et al., 2019</t>
  </si>
  <si>
    <r>
      <t>%</t>
    </r>
    <r>
      <rPr>
        <vertAlign val="subscript"/>
        <sz val="12"/>
        <color theme="1"/>
        <rFont val="Calibri (Body)"/>
      </rPr>
      <t>CAPEX,90% capture</t>
    </r>
  </si>
  <si>
    <r>
      <t>Ng</t>
    </r>
    <r>
      <rPr>
        <vertAlign val="subscript"/>
        <sz val="12"/>
        <color theme="1"/>
        <rFont val="Calibri (Body)"/>
      </rPr>
      <t>need</t>
    </r>
  </si>
  <si>
    <r>
      <t>[kg</t>
    </r>
    <r>
      <rPr>
        <vertAlign val="subscript"/>
        <sz val="12"/>
        <color theme="1"/>
        <rFont val="Calibri (Body)"/>
      </rPr>
      <t>NG</t>
    </r>
    <r>
      <rPr>
        <sz val="12"/>
        <color theme="1"/>
        <rFont val="Calibri (Body)"/>
      </rPr>
      <t>/kg</t>
    </r>
    <r>
      <rPr>
        <vertAlign val="subscript"/>
        <sz val="12"/>
        <color theme="1"/>
        <rFont val="Calibri (Body)"/>
      </rPr>
      <t>H2</t>
    </r>
    <r>
      <rPr>
        <sz val="12"/>
        <color theme="1"/>
        <rFont val="Calibri (Body)"/>
      </rPr>
      <t>]</t>
    </r>
  </si>
  <si>
    <t>O2 price</t>
  </si>
  <si>
    <t>[€/kg O2]</t>
  </si>
  <si>
    <t>Assumption: no market</t>
  </si>
  <si>
    <r>
      <t>𝜂</t>
    </r>
    <r>
      <rPr>
        <vertAlign val="subscript"/>
        <sz val="12"/>
        <color theme="1"/>
        <rFont val="Calibri (Body)"/>
      </rPr>
      <t>electric heating</t>
    </r>
  </si>
  <si>
    <t>Schoots et al., 2008</t>
  </si>
  <si>
    <t>Brändle et al., 2021</t>
  </si>
  <si>
    <t>CO2 T&amp;S cost</t>
  </si>
  <si>
    <t>[€/t CO2]</t>
  </si>
  <si>
    <t>Smith et al., 2021</t>
  </si>
  <si>
    <r>
      <t>S</t>
    </r>
    <r>
      <rPr>
        <vertAlign val="subscript"/>
        <sz val="12"/>
        <color theme="1"/>
        <rFont val="Calibri (Body)"/>
      </rPr>
      <t>max,2020</t>
    </r>
  </si>
  <si>
    <r>
      <t>[kg</t>
    </r>
    <r>
      <rPr>
        <vertAlign val="subscript"/>
        <sz val="12"/>
        <color theme="1"/>
        <rFont val="Calibri (Body)"/>
      </rPr>
      <t>c</t>
    </r>
    <r>
      <rPr>
        <sz val="12"/>
        <color theme="1"/>
        <rFont val="Calibri (Body)"/>
      </rPr>
      <t>/kg</t>
    </r>
    <r>
      <rPr>
        <vertAlign val="subscript"/>
        <sz val="12"/>
        <color theme="1"/>
        <rFont val="Calibri (Body)"/>
      </rPr>
      <t>H2</t>
    </r>
    <r>
      <rPr>
        <sz val="12"/>
        <color theme="1"/>
        <rFont val="Calibri (Body)"/>
      </rPr>
      <t>]</t>
    </r>
  </si>
  <si>
    <r>
      <t>S</t>
    </r>
    <r>
      <rPr>
        <vertAlign val="subscript"/>
        <sz val="12"/>
        <color theme="1"/>
        <rFont val="Calibri (Body)"/>
      </rPr>
      <t>max,2030</t>
    </r>
  </si>
  <si>
    <t>Oni et al., 2022</t>
  </si>
  <si>
    <r>
      <t>Price</t>
    </r>
    <r>
      <rPr>
        <vertAlign val="subscript"/>
        <sz val="12"/>
        <color theme="1"/>
        <rFont val="Calibri (Body)"/>
      </rPr>
      <t>C,solid</t>
    </r>
  </si>
  <si>
    <r>
      <t>[€</t>
    </r>
    <r>
      <rPr>
        <vertAlign val="subscript"/>
        <sz val="12"/>
        <color theme="1"/>
        <rFont val="Calibri"/>
        <family val="2"/>
        <scheme val="minor"/>
      </rPr>
      <t>2021</t>
    </r>
    <r>
      <rPr>
        <sz val="12"/>
        <color theme="1"/>
        <rFont val="Calibri"/>
        <family val="2"/>
        <scheme val="minor"/>
      </rPr>
      <t>/kg</t>
    </r>
    <r>
      <rPr>
        <vertAlign val="subscript"/>
        <sz val="12"/>
        <color theme="1"/>
        <rFont val="Calibri (Body)"/>
      </rPr>
      <t>C</t>
    </r>
    <r>
      <rPr>
        <sz val="12"/>
        <color theme="1"/>
        <rFont val="Calibri"/>
        <family val="2"/>
        <scheme val="minor"/>
      </rPr>
      <t>]</t>
    </r>
  </si>
  <si>
    <t>Keipi et al., 2016</t>
  </si>
  <si>
    <t>Guidehouse insights, 2022</t>
  </si>
  <si>
    <t>Own calculation, from IEA, 2020 and Schoots et al., 2008</t>
  </si>
  <si>
    <t>IEA, 2019</t>
  </si>
  <si>
    <r>
      <t>LT</t>
    </r>
    <r>
      <rPr>
        <vertAlign val="subscript"/>
        <sz val="12"/>
        <color theme="1"/>
        <rFont val="Calibri (Body)"/>
      </rPr>
      <t>system,2020</t>
    </r>
  </si>
  <si>
    <t>Bertuccioli et al., 2014</t>
  </si>
  <si>
    <r>
      <t>LT</t>
    </r>
    <r>
      <rPr>
        <vertAlign val="subscript"/>
        <sz val="12"/>
        <color theme="1"/>
        <rFont val="Calibri (Body)"/>
      </rPr>
      <t>system,2030</t>
    </r>
  </si>
  <si>
    <r>
      <t>LT</t>
    </r>
    <r>
      <rPr>
        <vertAlign val="subscript"/>
        <sz val="12"/>
        <color theme="1"/>
        <rFont val="Calibri (Body)"/>
      </rPr>
      <t>stack,2020</t>
    </r>
  </si>
  <si>
    <r>
      <t>CO</t>
    </r>
    <r>
      <rPr>
        <vertAlign val="subscript"/>
        <sz val="12"/>
        <color theme="1"/>
        <rFont val="Calibri (Body)"/>
      </rPr>
      <t>2</t>
    </r>
    <r>
      <rPr>
        <sz val="12"/>
        <color theme="1"/>
        <rFont val="Calibri"/>
        <family val="2"/>
        <scheme val="minor"/>
      </rPr>
      <t xml:space="preserve"> captured%, H2 rich</t>
    </r>
  </si>
  <si>
    <r>
      <t>LT</t>
    </r>
    <r>
      <rPr>
        <vertAlign val="subscript"/>
        <sz val="12"/>
        <color theme="1"/>
        <rFont val="Calibri (Body)"/>
      </rPr>
      <t>stack,2030</t>
    </r>
  </si>
  <si>
    <r>
      <t>CO</t>
    </r>
    <r>
      <rPr>
        <vertAlign val="subscript"/>
        <sz val="12"/>
        <color theme="1"/>
        <rFont val="Calibri (Body)"/>
      </rPr>
      <t>2</t>
    </r>
    <r>
      <rPr>
        <sz val="12"/>
        <color theme="1"/>
        <rFont val="Calibri"/>
        <family val="2"/>
        <scheme val="minor"/>
      </rPr>
      <t xml:space="preserve"> captured%, 90%</t>
    </r>
  </si>
  <si>
    <r>
      <t>𝜂</t>
    </r>
    <r>
      <rPr>
        <vertAlign val="subscript"/>
        <sz val="12"/>
        <color theme="1"/>
        <rFont val="Calibri (Body)"/>
      </rPr>
      <t>electrolyser,2020</t>
    </r>
  </si>
  <si>
    <t>IRENA, 2020</t>
  </si>
  <si>
    <t>Reference size</t>
  </si>
  <si>
    <t>[MW]</t>
  </si>
  <si>
    <r>
      <t>𝜂</t>
    </r>
    <r>
      <rPr>
        <vertAlign val="subscript"/>
        <sz val="12"/>
        <color theme="1"/>
        <rFont val="Calibri (Body)"/>
      </rPr>
      <t>electrolyser,2050</t>
    </r>
  </si>
  <si>
    <r>
      <t>NG cons</t>
    </r>
    <r>
      <rPr>
        <vertAlign val="subscript"/>
        <sz val="12"/>
        <color theme="1"/>
        <rFont val="Calibri (Body)"/>
      </rPr>
      <t>feedstock, noCCS</t>
    </r>
  </si>
  <si>
    <r>
      <t>NG cons</t>
    </r>
    <r>
      <rPr>
        <vertAlign val="subscript"/>
        <sz val="12"/>
        <color theme="1"/>
        <rFont val="Calibri (Body)"/>
      </rPr>
      <t>fuel, noCCS</t>
    </r>
  </si>
  <si>
    <r>
      <t>S</t>
    </r>
    <r>
      <rPr>
        <vertAlign val="subscript"/>
        <sz val="12"/>
        <color theme="1"/>
        <rFont val="Calibri (Body)"/>
      </rPr>
      <t>solar</t>
    </r>
    <r>
      <rPr>
        <sz val="12"/>
        <color theme="1"/>
        <rFont val="Calibri"/>
        <family val="2"/>
        <scheme val="minor"/>
      </rPr>
      <t>/S</t>
    </r>
    <r>
      <rPr>
        <vertAlign val="subscript"/>
        <sz val="12"/>
        <color theme="1"/>
        <rFont val="Calibri (Body)"/>
      </rPr>
      <t>EL</t>
    </r>
  </si>
  <si>
    <r>
      <t>[kW</t>
    </r>
    <r>
      <rPr>
        <vertAlign val="subscript"/>
        <sz val="12"/>
        <color theme="1"/>
        <rFont val="Calibri (Body)"/>
      </rPr>
      <t>RES</t>
    </r>
    <r>
      <rPr>
        <sz val="12"/>
        <color theme="1"/>
        <rFont val="Calibri"/>
        <family val="2"/>
        <scheme val="minor"/>
      </rPr>
      <t>/kW</t>
    </r>
    <r>
      <rPr>
        <vertAlign val="subscript"/>
        <sz val="12"/>
        <color theme="1"/>
        <rFont val="Calibri (Body)"/>
      </rPr>
      <t>EL</t>
    </r>
    <r>
      <rPr>
        <sz val="12"/>
        <color theme="1"/>
        <rFont val="Calibri"/>
        <family val="2"/>
        <scheme val="minor"/>
      </rPr>
      <t>]</t>
    </r>
  </si>
  <si>
    <r>
      <t>NG cons</t>
    </r>
    <r>
      <rPr>
        <vertAlign val="subscript"/>
        <sz val="12"/>
        <color theme="1"/>
        <rFont val="Calibri (Body)"/>
      </rPr>
      <t>feedstock, CCS&amp;H2rich</t>
    </r>
  </si>
  <si>
    <r>
      <t>S</t>
    </r>
    <r>
      <rPr>
        <vertAlign val="subscript"/>
        <sz val="12"/>
        <color theme="1"/>
        <rFont val="Calibri (Body)"/>
      </rPr>
      <t>offshore wind</t>
    </r>
    <r>
      <rPr>
        <sz val="12"/>
        <color theme="1"/>
        <rFont val="Calibri"/>
        <family val="2"/>
        <scheme val="minor"/>
      </rPr>
      <t>/S</t>
    </r>
    <r>
      <rPr>
        <vertAlign val="subscript"/>
        <sz val="12"/>
        <color theme="1"/>
        <rFont val="Calibri (Body)"/>
      </rPr>
      <t>EL</t>
    </r>
  </si>
  <si>
    <r>
      <t>NG cons</t>
    </r>
    <r>
      <rPr>
        <vertAlign val="subscript"/>
        <sz val="12"/>
        <color theme="1"/>
        <rFont val="Calibri (Body)"/>
      </rPr>
      <t>fuel, CCS&amp;H2rich</t>
    </r>
  </si>
  <si>
    <r>
      <t>S</t>
    </r>
    <r>
      <rPr>
        <vertAlign val="subscript"/>
        <sz val="12"/>
        <color theme="1"/>
        <rFont val="Calibri (Body)"/>
      </rPr>
      <t>onshore wind</t>
    </r>
    <r>
      <rPr>
        <sz val="12"/>
        <color theme="1"/>
        <rFont val="Calibri"/>
        <family val="2"/>
        <scheme val="minor"/>
      </rPr>
      <t>/S</t>
    </r>
    <r>
      <rPr>
        <vertAlign val="subscript"/>
        <sz val="12"/>
        <color theme="1"/>
        <rFont val="Calibri (Body)"/>
      </rPr>
      <t>EL</t>
    </r>
  </si>
  <si>
    <r>
      <t>NG cons</t>
    </r>
    <r>
      <rPr>
        <vertAlign val="subscript"/>
        <sz val="12"/>
        <color theme="1"/>
        <rFont val="Calibri (Body)"/>
      </rPr>
      <t>feedstock, 90%CCS</t>
    </r>
  </si>
  <si>
    <r>
      <t>NG cons</t>
    </r>
    <r>
      <rPr>
        <vertAlign val="subscript"/>
        <sz val="12"/>
        <color theme="1"/>
        <rFont val="Calibri (Body)"/>
      </rPr>
      <t>fuel, 90%CCS</t>
    </r>
  </si>
  <si>
    <r>
      <t>EL surplus</t>
    </r>
    <r>
      <rPr>
        <vertAlign val="subscript"/>
        <sz val="12"/>
        <color theme="1"/>
        <rFont val="Calibri (Body)"/>
      </rPr>
      <t>noCCS</t>
    </r>
  </si>
  <si>
    <r>
      <t>EL surplus</t>
    </r>
    <r>
      <rPr>
        <vertAlign val="subscript"/>
        <sz val="12"/>
        <color theme="1"/>
        <rFont val="Calibri (Body)"/>
      </rPr>
      <t>CCS&amp;H2rich</t>
    </r>
  </si>
  <si>
    <r>
      <t>EL surplus</t>
    </r>
    <r>
      <rPr>
        <vertAlign val="subscript"/>
        <sz val="12"/>
        <color theme="1"/>
        <rFont val="Calibri (Body)"/>
      </rPr>
      <t>90%CCS</t>
    </r>
  </si>
  <si>
    <t>Source / UoM</t>
  </si>
  <si>
    <t>IEA, SD Scenario</t>
  </si>
  <si>
    <t>Assumption, based on historical values (European Commission, 2022)</t>
  </si>
  <si>
    <t>[€/L]</t>
  </si>
  <si>
    <t>Assumption, based on historical values from (shipandbunker.com, 2022)</t>
  </si>
  <si>
    <t>[€/MJ]</t>
  </si>
  <si>
    <t>Germany - Grid</t>
  </si>
  <si>
    <t>France - Grid</t>
  </si>
  <si>
    <t>Override2</t>
  </si>
  <si>
    <t>Spain - Grid</t>
  </si>
  <si>
    <t>Override3</t>
  </si>
  <si>
    <t>Germany - Feed-in electricity price</t>
  </si>
  <si>
    <t>Override18</t>
  </si>
  <si>
    <t>France - Feed-in electricity price</t>
  </si>
  <si>
    <t>Override220</t>
  </si>
  <si>
    <t>Spain - Feed-in electricity price</t>
  </si>
  <si>
    <t>Override322</t>
  </si>
  <si>
    <t>Norway - Feed-in electricity price</t>
  </si>
  <si>
    <t>Override183</t>
  </si>
  <si>
    <t>Qatar - Feed-in electricity price</t>
  </si>
  <si>
    <t>Override2205</t>
  </si>
  <si>
    <t>Algeria - Feed-in electricity price</t>
  </si>
  <si>
    <t>Override3227</t>
  </si>
  <si>
    <t>Germany - Gas</t>
  </si>
  <si>
    <t>Override4</t>
  </si>
  <si>
    <t>France - Gas</t>
  </si>
  <si>
    <t>Override5</t>
  </si>
  <si>
    <t>Spain - Gas</t>
  </si>
  <si>
    <t>Override6</t>
  </si>
  <si>
    <t>Algeria - Gas</t>
  </si>
  <si>
    <t>Override7</t>
  </si>
  <si>
    <t>Norway - Gas</t>
  </si>
  <si>
    <t>Override8</t>
  </si>
  <si>
    <t>Qatar - Gas</t>
  </si>
  <si>
    <t>Override9</t>
  </si>
  <si>
    <t>Germany - CO2 Price</t>
  </si>
  <si>
    <t>Override10</t>
  </si>
  <si>
    <t>France - CO2 Price</t>
  </si>
  <si>
    <t>Override11</t>
  </si>
  <si>
    <t>Spain - CO2 Price</t>
  </si>
  <si>
    <t>Override12</t>
  </si>
  <si>
    <t>Algeria - CO2 Price</t>
  </si>
  <si>
    <t>Override13</t>
  </si>
  <si>
    <t>Norway - CO2 Price</t>
  </si>
  <si>
    <t>Override14</t>
  </si>
  <si>
    <t>Qatar - CO2 Price</t>
  </si>
  <si>
    <t>Override15</t>
  </si>
  <si>
    <t>Global - Diesel</t>
  </si>
  <si>
    <t>Override16</t>
  </si>
  <si>
    <t>Global - HFO</t>
  </si>
  <si>
    <t>Override17</t>
  </si>
  <si>
    <r>
      <t>LCOH</t>
    </r>
    <r>
      <rPr>
        <vertAlign val="subscript"/>
        <sz val="18"/>
        <color theme="1"/>
        <rFont val="Calibri"/>
        <family val="2"/>
        <scheme val="minor"/>
      </rPr>
      <t>transmission, shipping</t>
    </r>
  </si>
  <si>
    <t>TRANSMISSION - SHIPPING</t>
  </si>
  <si>
    <t>Ship fuel:</t>
  </si>
  <si>
    <t>[M€/ship]</t>
  </si>
  <si>
    <t>Ship CAPEX</t>
  </si>
  <si>
    <r>
      <t>Q</t>
    </r>
    <r>
      <rPr>
        <vertAlign val="subscript"/>
        <sz val="12"/>
        <color theme="1"/>
        <rFont val="Calibri (Body)"/>
      </rPr>
      <t>carrier,ship</t>
    </r>
  </si>
  <si>
    <t>Ship carrier capacity</t>
  </si>
  <si>
    <r>
      <t>Q</t>
    </r>
    <r>
      <rPr>
        <vertAlign val="subscript"/>
        <sz val="12"/>
        <color rgb="FF000000"/>
        <rFont val="Calibri"/>
        <family val="2"/>
        <scheme val="minor"/>
      </rPr>
      <t>H2,ship</t>
    </r>
  </si>
  <si>
    <t>[t_H2/ship]</t>
  </si>
  <si>
    <t>Ship hydrogen capacity</t>
  </si>
  <si>
    <t>Ship CAPEX per unit of transported hydrogen</t>
  </si>
  <si>
    <t xml:space="preserve">OPEX, as % of CAPEX </t>
  </si>
  <si>
    <t>Ship lifetime</t>
  </si>
  <si>
    <r>
      <t>v</t>
    </r>
    <r>
      <rPr>
        <vertAlign val="subscript"/>
        <sz val="12"/>
        <color theme="1"/>
        <rFont val="Calibri (Body)"/>
      </rPr>
      <t>ship</t>
    </r>
  </si>
  <si>
    <t>[km/h]</t>
  </si>
  <si>
    <t>Ship average velocity</t>
  </si>
  <si>
    <r>
      <t>t</t>
    </r>
    <r>
      <rPr>
        <vertAlign val="subscript"/>
        <sz val="12"/>
        <color theme="1"/>
        <rFont val="Calibri (Body)"/>
      </rPr>
      <t>harbor</t>
    </r>
  </si>
  <si>
    <t>Average time spent in harbor</t>
  </si>
  <si>
    <t>[MJ/km]</t>
  </si>
  <si>
    <t>b%</t>
  </si>
  <si>
    <t>[%/d]</t>
  </si>
  <si>
    <t>Hydrogen boil-off rate (only considered when LH2 transported)</t>
  </si>
  <si>
    <t>Routes per year</t>
  </si>
  <si>
    <t>Routes per year (round trip)</t>
  </si>
  <si>
    <r>
      <t>LCOH</t>
    </r>
    <r>
      <rPr>
        <vertAlign val="subscript"/>
        <sz val="12"/>
        <color theme="1"/>
        <rFont val="Calibri (Body)"/>
      </rPr>
      <t>nav,vessel</t>
    </r>
  </si>
  <si>
    <t>Ship capital and O&amp;M cost</t>
  </si>
  <si>
    <r>
      <t>LCOH</t>
    </r>
    <r>
      <rPr>
        <vertAlign val="subscript"/>
        <sz val="12"/>
        <color theme="1"/>
        <rFont val="Calibri (Body)"/>
      </rPr>
      <t>nav,fuel</t>
    </r>
  </si>
  <si>
    <t>Fuel cost, per route (round-trip)</t>
  </si>
  <si>
    <r>
      <t>LCOH</t>
    </r>
    <r>
      <rPr>
        <vertAlign val="subscript"/>
        <sz val="12"/>
        <color theme="1"/>
        <rFont val="Calibri (Body)"/>
      </rPr>
      <t>nav,boil-off</t>
    </r>
  </si>
  <si>
    <t>Cost of H2 lost for boil-off</t>
  </si>
  <si>
    <r>
      <t>LCOH</t>
    </r>
    <r>
      <rPr>
        <vertAlign val="subscript"/>
        <sz val="12"/>
        <color theme="1"/>
        <rFont val="Calibri (Body)"/>
      </rPr>
      <t>transmission, ship</t>
    </r>
  </si>
  <si>
    <t>Levelized cost of hydrogen shipping</t>
  </si>
  <si>
    <r>
      <t>LCOH</t>
    </r>
    <r>
      <rPr>
        <vertAlign val="subscript"/>
        <sz val="18"/>
        <color theme="1"/>
        <rFont val="Calibri"/>
        <family val="2"/>
        <scheme val="minor"/>
      </rPr>
      <t>transmission, truck</t>
    </r>
  </si>
  <si>
    <t>DISTRIBUTION - TRUCK</t>
  </si>
  <si>
    <t>Truck fuel:</t>
  </si>
  <si>
    <t>Diesel</t>
  </si>
  <si>
    <t>Truck range:</t>
  </si>
  <si>
    <t>Haulage</t>
  </si>
  <si>
    <t>Number of shifts:</t>
  </si>
  <si>
    <r>
      <t>CAPEX</t>
    </r>
    <r>
      <rPr>
        <vertAlign val="subscript"/>
        <sz val="12"/>
        <color theme="1"/>
        <rFont val="Calibri (Body)"/>
      </rPr>
      <t>tractor</t>
    </r>
  </si>
  <si>
    <t>[€/truck]</t>
  </si>
  <si>
    <t>Tractor CAPEX</t>
  </si>
  <si>
    <r>
      <t>CAPEX</t>
    </r>
    <r>
      <rPr>
        <vertAlign val="subscript"/>
        <sz val="12"/>
        <color theme="1"/>
        <rFont val="Calibri"/>
        <family val="2"/>
        <scheme val="minor"/>
      </rPr>
      <t>trailer chassis</t>
    </r>
  </si>
  <si>
    <t>Trailer chassis CAPEX</t>
  </si>
  <si>
    <r>
      <t>CAPEX</t>
    </r>
    <r>
      <rPr>
        <vertAlign val="subscript"/>
        <sz val="12"/>
        <color theme="1"/>
        <rFont val="Calibri (Body)"/>
      </rPr>
      <t>tank</t>
    </r>
  </si>
  <si>
    <t>Trailer CAPEX</t>
  </si>
  <si>
    <r>
      <t>Q</t>
    </r>
    <r>
      <rPr>
        <vertAlign val="subscript"/>
        <sz val="12"/>
        <color theme="1"/>
        <rFont val="Calibri (Body)"/>
      </rPr>
      <t>carrier,truck</t>
    </r>
  </si>
  <si>
    <t>Truck carrier capacity</t>
  </si>
  <si>
    <r>
      <t>Q</t>
    </r>
    <r>
      <rPr>
        <vertAlign val="subscript"/>
        <sz val="12"/>
        <color rgb="FF000000"/>
        <rFont val="Calibri"/>
        <family val="2"/>
        <scheme val="minor"/>
      </rPr>
      <t>H2,truck</t>
    </r>
  </si>
  <si>
    <t>[kg_H2/truck]</t>
  </si>
  <si>
    <t>Truck hydrogen capacity</t>
  </si>
  <si>
    <t>Truck CAPEX per unit of transported hydrogen</t>
  </si>
  <si>
    <t>Annual mileage</t>
  </si>
  <si>
    <t>[km/a]</t>
  </si>
  <si>
    <t>Truck average velocity, including standstill</t>
  </si>
  <si>
    <r>
      <t>t</t>
    </r>
    <r>
      <rPr>
        <vertAlign val="subscript"/>
        <sz val="12"/>
        <color theme="1"/>
        <rFont val="Calibri (Body)"/>
      </rPr>
      <t>operation</t>
    </r>
  </si>
  <si>
    <t>[h/a]</t>
  </si>
  <si>
    <t>Hours in operation yearly</t>
  </si>
  <si>
    <t>[€/km]</t>
  </si>
  <si>
    <t>Truck OPEX, per covered distance</t>
  </si>
  <si>
    <r>
      <t>LT</t>
    </r>
    <r>
      <rPr>
        <vertAlign val="subscript"/>
        <sz val="12"/>
        <color theme="1"/>
        <rFont val="Calibri"/>
        <family val="2"/>
        <scheme val="minor"/>
      </rPr>
      <t>tractor</t>
    </r>
  </si>
  <si>
    <t>Tractor lifetime</t>
  </si>
  <si>
    <r>
      <t>LT</t>
    </r>
    <r>
      <rPr>
        <vertAlign val="subscript"/>
        <sz val="12"/>
        <color theme="1"/>
        <rFont val="Calibri"/>
        <family val="2"/>
        <scheme val="minor"/>
      </rPr>
      <t>trailer chassis</t>
    </r>
  </si>
  <si>
    <t>Trailer chassis lifetime</t>
  </si>
  <si>
    <r>
      <t>LT</t>
    </r>
    <r>
      <rPr>
        <vertAlign val="subscript"/>
        <sz val="12"/>
        <color theme="1"/>
        <rFont val="Calibri"/>
        <family val="2"/>
        <scheme val="minor"/>
      </rPr>
      <t>tank</t>
    </r>
  </si>
  <si>
    <t>Fuel trailer lifetime</t>
  </si>
  <si>
    <r>
      <t>c</t>
    </r>
    <r>
      <rPr>
        <vertAlign val="subscript"/>
        <sz val="12"/>
        <color theme="1"/>
        <rFont val="Calibri"/>
        <family val="2"/>
        <scheme val="minor"/>
      </rPr>
      <t>driver</t>
    </r>
  </si>
  <si>
    <t>[€/h]</t>
  </si>
  <si>
    <t>Driver hourly salary</t>
  </si>
  <si>
    <t xml:space="preserve">Tractor a% </t>
  </si>
  <si>
    <t>Tractor amortization rate</t>
  </si>
  <si>
    <t>Trailer chassis a%</t>
  </si>
  <si>
    <t>Trailer chassis amortization rate</t>
  </si>
  <si>
    <t>Trailer a%</t>
  </si>
  <si>
    <t>Trailer amortization rate</t>
  </si>
  <si>
    <r>
      <t>LCOH</t>
    </r>
    <r>
      <rPr>
        <vertAlign val="subscript"/>
        <sz val="12"/>
        <color theme="1"/>
        <rFont val="Calibri (Body)"/>
      </rPr>
      <t>d,truck</t>
    </r>
  </si>
  <si>
    <t>Truck capital and O&amp;M cost</t>
  </si>
  <si>
    <r>
      <t>LCOH</t>
    </r>
    <r>
      <rPr>
        <vertAlign val="subscript"/>
        <sz val="12"/>
        <color theme="1"/>
        <rFont val="Calibri (Body)"/>
      </rPr>
      <t>d,driver</t>
    </r>
  </si>
  <si>
    <t>Driver cost</t>
  </si>
  <si>
    <r>
      <t>LCOH</t>
    </r>
    <r>
      <rPr>
        <vertAlign val="subscript"/>
        <sz val="12"/>
        <color theme="1"/>
        <rFont val="Calibri (Body)"/>
      </rPr>
      <t>d,fuel</t>
    </r>
  </si>
  <si>
    <r>
      <t>LCOH</t>
    </r>
    <r>
      <rPr>
        <vertAlign val="subscript"/>
        <sz val="12"/>
        <color theme="1"/>
        <rFont val="Calibri (Body)"/>
      </rPr>
      <t>d,boil-off</t>
    </r>
  </si>
  <si>
    <r>
      <t>LCOH</t>
    </r>
    <r>
      <rPr>
        <vertAlign val="subscript"/>
        <sz val="12"/>
        <color theme="1"/>
        <rFont val="Calibri (Body)"/>
      </rPr>
      <t>transmission, truck</t>
    </r>
  </si>
  <si>
    <t>Levelized cost of hydrogen distribution by truck</t>
  </si>
  <si>
    <t>PIPELINE VALUES</t>
  </si>
  <si>
    <t>Pipeline dimension</t>
  </si>
  <si>
    <t>SHIPPING VALUES</t>
  </si>
  <si>
    <t>H2 carrier</t>
  </si>
  <si>
    <t>TRUCK VALUES</t>
  </si>
  <si>
    <t>General</t>
  </si>
  <si>
    <t>Medium</t>
  </si>
  <si>
    <t>Other</t>
  </si>
  <si>
    <t>Jens et al., 2021</t>
  </si>
  <si>
    <t>Internal assumption</t>
  </si>
  <si>
    <r>
      <t>[t</t>
    </r>
    <r>
      <rPr>
        <sz val="12"/>
        <color theme="1"/>
        <rFont val="Calibri (Body)"/>
      </rPr>
      <t>/ship]</t>
    </r>
  </si>
  <si>
    <r>
      <t>CAPEX</t>
    </r>
    <r>
      <rPr>
        <vertAlign val="subscript"/>
        <sz val="12"/>
        <color theme="1"/>
        <rFont val="Calibri (Body)"/>
      </rPr>
      <t>trailer chassis</t>
    </r>
  </si>
  <si>
    <r>
      <t>CAPEX</t>
    </r>
    <r>
      <rPr>
        <vertAlign val="subscript"/>
        <sz val="12"/>
        <color theme="1"/>
        <rFont val="Calibri (Body)"/>
      </rPr>
      <t>new</t>
    </r>
  </si>
  <si>
    <t>Reddi et al., 2018</t>
  </si>
  <si>
    <t>Li et al. 2020</t>
  </si>
  <si>
    <t>smartport.nl, 2020</t>
  </si>
  <si>
    <r>
      <t>CAPEX</t>
    </r>
    <r>
      <rPr>
        <vertAlign val="subscript"/>
        <sz val="12"/>
        <color theme="1"/>
        <rFont val="Calibri (Body)"/>
      </rPr>
      <t>repurposed</t>
    </r>
  </si>
  <si>
    <r>
      <t>[kg</t>
    </r>
    <r>
      <rPr>
        <sz val="12"/>
        <color theme="1"/>
        <rFont val="Calibri (Body)"/>
      </rPr>
      <t>/truck]</t>
    </r>
  </si>
  <si>
    <r>
      <t>[GW</t>
    </r>
    <r>
      <rPr>
        <vertAlign val="subscript"/>
        <sz val="12"/>
        <color theme="1"/>
        <rFont val="Calibri (Body)"/>
      </rPr>
      <t>LHV</t>
    </r>
    <r>
      <rPr>
        <sz val="12"/>
        <color theme="1"/>
        <rFont val="Calibri"/>
        <family val="2"/>
        <scheme val="minor"/>
      </rPr>
      <t>]</t>
    </r>
  </si>
  <si>
    <t>van Gerwen et al., 2019</t>
  </si>
  <si>
    <t>fuel cons.</t>
  </si>
  <si>
    <r>
      <t>LT</t>
    </r>
    <r>
      <rPr>
        <vertAlign val="subscript"/>
        <sz val="12"/>
        <color theme="1"/>
        <rFont val="Calibri (Body)"/>
      </rPr>
      <t>truck,D</t>
    </r>
  </si>
  <si>
    <r>
      <t>LT</t>
    </r>
    <r>
      <rPr>
        <vertAlign val="subscript"/>
        <sz val="12"/>
        <color theme="1"/>
        <rFont val="Calibri (Body)"/>
      </rPr>
      <t>trailer chassis</t>
    </r>
  </si>
  <si>
    <r>
      <t>CAPEX</t>
    </r>
    <r>
      <rPr>
        <vertAlign val="subscript"/>
        <sz val="12"/>
        <color theme="1"/>
        <rFont val="Calibri (Body)"/>
      </rPr>
      <t>offshore</t>
    </r>
    <r>
      <rPr>
        <sz val="12"/>
        <color theme="1"/>
        <rFont val="Calibri (Body)"/>
      </rPr>
      <t>/CAPEX</t>
    </r>
    <r>
      <rPr>
        <vertAlign val="subscript"/>
        <sz val="12"/>
        <color theme="1"/>
        <rFont val="Calibri (Body)"/>
      </rPr>
      <t>onshore</t>
    </r>
  </si>
  <si>
    <r>
      <t>Decrease</t>
    </r>
    <r>
      <rPr>
        <vertAlign val="subscript"/>
        <sz val="12"/>
        <color theme="1"/>
        <rFont val="Calibri (Body)"/>
      </rPr>
      <t>CAPEX,2020-2030</t>
    </r>
  </si>
  <si>
    <r>
      <t>LT</t>
    </r>
    <r>
      <rPr>
        <vertAlign val="subscript"/>
        <sz val="12"/>
        <color theme="1"/>
        <rFont val="Calibri (Body)"/>
      </rPr>
      <t>tank</t>
    </r>
  </si>
  <si>
    <t>Mahitec, 2021</t>
  </si>
  <si>
    <r>
      <t>c</t>
    </r>
    <r>
      <rPr>
        <vertAlign val="subscript"/>
        <sz val="12"/>
        <color theme="1"/>
        <rFont val="Calibri (Body)"/>
      </rPr>
      <t>driver,D</t>
    </r>
  </si>
  <si>
    <t>Own calculations, based on Khan et al., 2021</t>
  </si>
  <si>
    <r>
      <t>c</t>
    </r>
    <r>
      <rPr>
        <vertAlign val="subscript"/>
        <sz val="12"/>
        <color theme="1"/>
        <rFont val="Calibri (Body)"/>
      </rPr>
      <t>driver,H</t>
    </r>
  </si>
  <si>
    <r>
      <t>fuel cons</t>
    </r>
    <r>
      <rPr>
        <vertAlign val="subscript"/>
        <sz val="12"/>
        <color theme="1"/>
        <rFont val="Calibri (Body)"/>
      </rPr>
      <t>diesel,D</t>
    </r>
  </si>
  <si>
    <t>[L/km]</t>
  </si>
  <si>
    <r>
      <t>fuel cons</t>
    </r>
    <r>
      <rPr>
        <vertAlign val="subscript"/>
        <sz val="12"/>
        <color theme="1"/>
        <rFont val="Calibri (Body)"/>
      </rPr>
      <t>diesel,H</t>
    </r>
  </si>
  <si>
    <r>
      <t>t</t>
    </r>
    <r>
      <rPr>
        <vertAlign val="subscript"/>
        <sz val="12"/>
        <color theme="1"/>
        <rFont val="Calibri (Body)"/>
      </rPr>
      <t>operation,D</t>
    </r>
  </si>
  <si>
    <r>
      <t>t</t>
    </r>
    <r>
      <rPr>
        <vertAlign val="subscript"/>
        <sz val="12"/>
        <color theme="1"/>
        <rFont val="Calibri (Body)"/>
      </rPr>
      <t>operation,H</t>
    </r>
  </si>
  <si>
    <r>
      <t>annual mileage</t>
    </r>
    <r>
      <rPr>
        <vertAlign val="subscript"/>
        <sz val="12"/>
        <color theme="1"/>
        <rFont val="Calibri (Body)"/>
      </rPr>
      <t>D</t>
    </r>
  </si>
  <si>
    <r>
      <t>annual mileage</t>
    </r>
    <r>
      <rPr>
        <vertAlign val="subscript"/>
        <sz val="12"/>
        <color theme="1"/>
        <rFont val="Calibri (Body)"/>
      </rPr>
      <t>H</t>
    </r>
  </si>
  <si>
    <t>p</t>
  </si>
  <si>
    <t>DEFAULT VALUES</t>
  </si>
  <si>
    <t>INFLATION</t>
  </si>
  <si>
    <t>Euro area (Ref year: 2021)</t>
  </si>
  <si>
    <t xml:space="preserve">From </t>
  </si>
  <si>
    <t>Eurostat</t>
  </si>
  <si>
    <t>Lower heating value H2</t>
  </si>
  <si>
    <t>LHV</t>
  </si>
  <si>
    <t>[kWh_el/kg_H2]</t>
  </si>
  <si>
    <t>Hours in a year</t>
  </si>
  <si>
    <t>HH</t>
  </si>
  <si>
    <t>in 2001</t>
  </si>
  <si>
    <t>is now</t>
  </si>
  <si>
    <r>
      <t>Conversions</t>
    </r>
    <r>
      <rPr>
        <sz val="12"/>
        <color rgb="FF000000"/>
        <rFont val="Calibri"/>
        <family val="2"/>
        <scheme val="minor"/>
      </rPr>
      <t xml:space="preserve">
[per kg]</t>
    </r>
  </si>
  <si>
    <t>kWh (LHV)</t>
  </si>
  <si>
    <t>Future inflation rate calculated as average from 1996 to 2021</t>
  </si>
  <si>
    <t>kWh (HHV)</t>
  </si>
  <si>
    <t>MJ (LHV)</t>
  </si>
  <si>
    <t>e</t>
  </si>
  <si>
    <t>MJ (HHV)</t>
  </si>
  <si>
    <t>Nm3</t>
  </si>
  <si>
    <t>Convert</t>
  </si>
  <si>
    <t>kg</t>
  </si>
  <si>
    <t>to</t>
  </si>
  <si>
    <t>El price</t>
  </si>
  <si>
    <t>HFO price</t>
  </si>
  <si>
    <t>Gas EF</t>
  </si>
  <si>
    <t>[t CO2/TJ_NG,LHV]</t>
  </si>
  <si>
    <t>from Umtwelt Bundesamt, 2016</t>
  </si>
  <si>
    <t>[t CO2/TJ_NG,HHV]</t>
  </si>
  <si>
    <t>1 EUR</t>
  </si>
  <si>
    <t>is equal to</t>
  </si>
  <si>
    <t>USD</t>
  </si>
  <si>
    <t>Gas HHV</t>
  </si>
  <si>
    <r>
      <t>[MJ</t>
    </r>
    <r>
      <rPr>
        <vertAlign val="subscript"/>
        <sz val="12"/>
        <color theme="1"/>
        <rFont val="Calibri (Body)"/>
      </rPr>
      <t>HHV</t>
    </r>
    <r>
      <rPr>
        <sz val="12"/>
        <color theme="1"/>
        <rFont val="Calibri"/>
        <family val="2"/>
        <scheme val="minor"/>
      </rPr>
      <t>/kg]</t>
    </r>
  </si>
  <si>
    <t>GBP</t>
  </si>
  <si>
    <r>
      <t>[kWh</t>
    </r>
    <r>
      <rPr>
        <vertAlign val="subscript"/>
        <sz val="12"/>
        <color theme="1"/>
        <rFont val="Calibri (Body)"/>
      </rPr>
      <t>HHV</t>
    </r>
    <r>
      <rPr>
        <sz val="12"/>
        <color theme="1"/>
        <rFont val="Calibri"/>
        <family val="2"/>
        <scheme val="minor"/>
      </rPr>
      <t>/kg]</t>
    </r>
  </si>
  <si>
    <t>ECB, 2022</t>
  </si>
  <si>
    <t>CAD</t>
  </si>
  <si>
    <t>Gas LHV</t>
  </si>
  <si>
    <r>
      <t>[MJ</t>
    </r>
    <r>
      <rPr>
        <vertAlign val="subscript"/>
        <sz val="12"/>
        <color theme="1"/>
        <rFont val="Calibri (Body)"/>
      </rPr>
      <t>LHV</t>
    </r>
    <r>
      <rPr>
        <sz val="12"/>
        <color theme="1"/>
        <rFont val="Calibri"/>
        <family val="2"/>
        <scheme val="minor"/>
      </rPr>
      <t>/kg]</t>
    </r>
  </si>
  <si>
    <t>JPY</t>
  </si>
  <si>
    <t>H2% in NH3</t>
  </si>
  <si>
    <t>Wan et al., 2021</t>
  </si>
  <si>
    <t>LHV HFO</t>
  </si>
  <si>
    <t>[MJ/kg]</t>
  </si>
  <si>
    <t>Engineering toolbox, 2003</t>
  </si>
  <si>
    <t>Costant values for pipeline flow calculations</t>
  </si>
  <si>
    <t>Equation constant</t>
  </si>
  <si>
    <t>Base temperature</t>
  </si>
  <si>
    <t>Tb</t>
  </si>
  <si>
    <t>Base pressure</t>
  </si>
  <si>
    <t>pb</t>
  </si>
  <si>
    <t>[kPa]</t>
  </si>
  <si>
    <t>Specific gravity H2</t>
  </si>
  <si>
    <t>G</t>
  </si>
  <si>
    <t>Compressibility</t>
  </si>
  <si>
    <t>Ideal gas constant</t>
  </si>
  <si>
    <t>[kPa*m^3/kg/mol/k]</t>
  </si>
  <si>
    <t>H2 density</t>
  </si>
  <si>
    <t>rho</t>
  </si>
  <si>
    <t>roughness</t>
  </si>
  <si>
    <t>eps</t>
  </si>
  <si>
    <t>[m]</t>
  </si>
  <si>
    <t>viscosity</t>
  </si>
  <si>
    <t>v</t>
  </si>
  <si>
    <t>[kg/m/s]</t>
  </si>
  <si>
    <t>Average flow temperature</t>
  </si>
  <si>
    <t>Tf</t>
  </si>
  <si>
    <t>Converting units</t>
  </si>
  <si>
    <t>kWh</t>
  </si>
  <si>
    <t>MJ</t>
  </si>
  <si>
    <t>Destination countries</t>
  </si>
  <si>
    <t>Electrolyser types</t>
  </si>
  <si>
    <t>Sources of electricity</t>
  </si>
  <si>
    <t>Project starting years</t>
  </si>
  <si>
    <t>YES/NO</t>
  </si>
  <si>
    <t>Transmission methods offshore</t>
  </si>
  <si>
    <t>Transmission methods onshore</t>
  </si>
  <si>
    <t>Pipeline size</t>
  </si>
  <si>
    <t>Carrier</t>
  </si>
  <si>
    <t>Alkaline water electrolyser</t>
  </si>
  <si>
    <t>Proton-exchange membrane</t>
  </si>
  <si>
    <t>Vessel</t>
  </si>
  <si>
    <t>Solid oxide electrolyser cell</t>
  </si>
  <si>
    <t>LOHC</t>
  </si>
  <si>
    <t>Production location</t>
  </si>
  <si>
    <t>Arrival hub</t>
  </si>
  <si>
    <t>New or repurposed?</t>
  </si>
  <si>
    <t>Truck range</t>
  </si>
  <si>
    <t>Fuel</t>
  </si>
  <si>
    <t>Compression purpose</t>
  </si>
  <si>
    <t>Electricity compression</t>
  </si>
  <si>
    <t>Selection</t>
  </si>
  <si>
    <t>H2</t>
  </si>
  <si>
    <t>Manual</t>
  </si>
  <si>
    <t>Central</t>
  </si>
  <si>
    <t>Repurposed</t>
  </si>
  <si>
    <t>Dedicated RE plant</t>
  </si>
  <si>
    <t>The Netherlands</t>
  </si>
  <si>
    <t xml:space="preserve">  </t>
  </si>
  <si>
    <t>Liquefier Plant Capacity</t>
  </si>
  <si>
    <t>Type of technology</t>
  </si>
  <si>
    <t>Small-scale (&lt;3 tpd)</t>
  </si>
  <si>
    <t>Medium-scale (3-50 tpd)</t>
  </si>
  <si>
    <t>Large-scale (&gt;50 tpd)</t>
  </si>
  <si>
    <t>Type of converter for the H-B process synloop</t>
  </si>
  <si>
    <t>No recycling in the converter</t>
  </si>
  <si>
    <t>Electricity source / CCS?</t>
  </si>
  <si>
    <t>Electrolyzer / Fuel</t>
  </si>
  <si>
    <t>Carrier TS</t>
  </si>
  <si>
    <t>Carrier TL</t>
  </si>
  <si>
    <t>Carrier D</t>
  </si>
  <si>
    <t>Selected pressure [bar]</t>
  </si>
  <si>
    <r>
      <t xml:space="preserve">Levelized cost of hydrogen [€/kg] </t>
    </r>
    <r>
      <rPr>
        <sz val="12"/>
        <color theme="1"/>
        <rFont val="Calibri"/>
        <family val="2"/>
        <scheme val="minor"/>
      </rPr>
      <t>(</t>
    </r>
    <r>
      <rPr>
        <u/>
        <sz val="12"/>
        <color theme="1"/>
        <rFont val="Calibri (Body)"/>
      </rPr>
      <t>Obs</t>
    </r>
    <r>
      <rPr>
        <sz val="12"/>
        <color theme="1"/>
        <rFont val="Calibri (Body)"/>
      </rPr>
      <t xml:space="preserve">: </t>
    </r>
    <r>
      <rPr>
        <sz val="12"/>
        <color theme="1"/>
        <rFont val="Calibri"/>
        <family val="2"/>
        <scheme val="minor"/>
      </rPr>
      <t>sometimes doesn't update automatically)</t>
    </r>
  </si>
  <si>
    <r>
      <rPr>
        <u/>
        <sz val="12"/>
        <color theme="1"/>
        <rFont val="Calibri (Body)"/>
      </rPr>
      <t>Obs:</t>
    </r>
    <r>
      <rPr>
        <sz val="12"/>
        <color theme="1"/>
        <rFont val="Calibri (Body)"/>
      </rPr>
      <t xml:space="preserve"> final storage only as gH2</t>
    </r>
  </si>
  <si>
    <t>Capacity factor of electricity source</t>
  </si>
  <si>
    <t>Link table</t>
  </si>
  <si>
    <r>
      <rPr>
        <u/>
        <sz val="12"/>
        <color rgb="FFFF0000"/>
        <rFont val="Calibri (Body)"/>
      </rPr>
      <t>OBS</t>
    </r>
    <r>
      <rPr>
        <sz val="12"/>
        <color rgb="FFFF0000"/>
        <rFont val="Calibri"/>
        <family val="2"/>
        <scheme val="minor"/>
      </rPr>
      <t xml:space="preserve">: The below selection pane does not show the supply chain in chronological order, but rather divides it in its stages. To view the chronological order of the supply chain, refer to the </t>
    </r>
    <r>
      <rPr>
        <i/>
        <sz val="12"/>
        <color rgb="FFFF0000"/>
        <rFont val="Calibri"/>
        <family val="2"/>
        <scheme val="minor"/>
      </rPr>
      <t>Graphical description of the Excel tool</t>
    </r>
    <r>
      <rPr>
        <sz val="12"/>
        <color rgb="FFFF0000"/>
        <rFont val="Calibri"/>
        <family val="2"/>
        <scheme val="minor"/>
      </rPr>
      <t xml:space="preserve"> in the report or to the table linked below.</t>
    </r>
  </si>
  <si>
    <t>European Comission, 2020</t>
  </si>
  <si>
    <t>N/D</t>
  </si>
  <si>
    <t>Storage of capacity desired</t>
  </si>
  <si>
    <t>Electric motor efficiency</t>
  </si>
  <si>
    <t>Same as type I</t>
  </si>
  <si>
    <t>Same as Type I</t>
  </si>
  <si>
    <r>
      <t>P</t>
    </r>
    <r>
      <rPr>
        <vertAlign val="subscript"/>
        <sz val="12"/>
        <color theme="1"/>
        <rFont val="Calibri (Body)"/>
      </rPr>
      <t>isentropic</t>
    </r>
  </si>
  <si>
    <t>Isentropic power over the isothermal efficiency</t>
  </si>
  <si>
    <t>Monthly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</si>
</sst>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164" formatCode="#,##0.00\ &quot;€&quot;;[Red]\-#,##0.00\ &quot;€&quot;"/>
    <numFmt numFmtId="165" formatCode="_-* #,##0.00\ &quot;€&quot;_-;\-* #,##0.00\ &quot;€&quot;_-;_-* &quot;-&quot;??\ &quot;€&quot;_-;_-@_-"/>
    <numFmt numFmtId="166" formatCode="#,##0.00\ &quot;€&quot;"/>
    <numFmt numFmtId="167" formatCode="0.0%"/>
    <numFmt numFmtId="168" formatCode="[$€-2]\ #,##0;[Red]\-[$€-2]\ #,##0"/>
    <numFmt numFmtId="169" formatCode="[$€-2]\ #,##0.00;[Red]\-[$€-2]\ #,##0.00"/>
    <numFmt numFmtId="170" formatCode="0.0"/>
    <numFmt numFmtId="171" formatCode="0.000"/>
    <numFmt numFmtId="172" formatCode="_-* #,##0.000\ &quot;€&quot;_-;\-* #,##0.000\ &quot;€&quot;_-;_-* &quot;-&quot;??\ &quot;€&quot;_-;_-@_-"/>
    <numFmt numFmtId="173" formatCode="#,##0.000000\ &quot;€&quot;;[Red]\-#,##0.000000\ &quot;€&quot;"/>
    <numFmt numFmtId="174" formatCode="0.0000"/>
    <numFmt numFmtId="175" formatCode="#,##0.000\ &quot;€&quot;"/>
    <numFmt numFmtId="176" formatCode="0.0000%"/>
    <numFmt numFmtId="177" formatCode="0.000000"/>
    <numFmt numFmtId="178" formatCode="0.00000"/>
  </numFmts>
  <fonts count="65">
    <font>
      <sz val="12"/>
      <color theme="1"/>
      <name val="Calibri"/>
      <family val="2"/>
      <scheme val="minor"/>
    </font>
    <font>
      <b/>
      <sz val="12"/>
      <color theme="1"/>
      <name val="Calibri"/>
      <family val="2"/>
      <scheme val="minor"/>
    </font>
    <font>
      <sz val="12"/>
      <color theme="1"/>
      <name val="Calibri"/>
      <family val="2"/>
      <scheme val="minor"/>
    </font>
    <font>
      <sz val="10"/>
      <color rgb="FF000000"/>
      <name val="Tahoma"/>
      <family val="2"/>
    </font>
    <font>
      <i/>
      <sz val="10"/>
      <color theme="1"/>
      <name val="Calibri"/>
      <family val="2"/>
      <scheme val="minor"/>
    </font>
    <font>
      <vertAlign val="subscript"/>
      <sz val="12"/>
      <color theme="1"/>
      <name val="Calibri (Body)"/>
    </font>
    <font>
      <b/>
      <sz val="10"/>
      <color rgb="FF000000"/>
      <name val="Tahoma"/>
      <family val="2"/>
    </font>
    <font>
      <u/>
      <sz val="12"/>
      <color theme="10"/>
      <name val="Calibri"/>
      <family val="2"/>
      <scheme val="minor"/>
    </font>
    <font>
      <u/>
      <sz val="12"/>
      <color theme="4"/>
      <name val="Calibri"/>
      <family val="2"/>
      <scheme val="minor"/>
    </font>
    <font>
      <sz val="12"/>
      <color theme="4" tint="0.79998168889431442"/>
      <name val="Calibri"/>
      <family val="2"/>
      <scheme val="minor"/>
    </font>
    <font>
      <sz val="12"/>
      <color theme="1"/>
      <name val="Calibri (Body)"/>
    </font>
    <font>
      <sz val="8"/>
      <name val="Calibri"/>
      <family val="2"/>
      <scheme val="minor"/>
    </font>
    <font>
      <b/>
      <sz val="12"/>
      <color rgb="FF000000"/>
      <name val="Calibri"/>
      <family val="2"/>
      <scheme val="minor"/>
    </font>
    <font>
      <sz val="12"/>
      <color rgb="FF000000"/>
      <name val="Calibri"/>
      <family val="2"/>
      <scheme val="minor"/>
    </font>
    <font>
      <vertAlign val="subscript"/>
      <sz val="12"/>
      <color theme="1"/>
      <name val="Calibri"/>
      <family val="2"/>
      <scheme val="minor"/>
    </font>
    <font>
      <b/>
      <sz val="18"/>
      <color theme="1"/>
      <name val="Calibri"/>
      <family val="2"/>
      <scheme val="minor"/>
    </font>
    <font>
      <sz val="18"/>
      <color theme="1"/>
      <name val="Calibri"/>
      <family val="2"/>
      <scheme val="minor"/>
    </font>
    <font>
      <b/>
      <u/>
      <sz val="12"/>
      <color theme="1"/>
      <name val="Calibri (Body)"/>
    </font>
    <font>
      <sz val="10"/>
      <color theme="1"/>
      <name val="Calibri"/>
      <family val="2"/>
      <scheme val="minor"/>
    </font>
    <font>
      <sz val="12"/>
      <name val="Calibri"/>
      <family val="2"/>
      <scheme val="minor"/>
    </font>
    <font>
      <vertAlign val="subscript"/>
      <sz val="18"/>
      <color theme="1"/>
      <name val="Calibri"/>
      <family val="2"/>
      <scheme val="minor"/>
    </font>
    <font>
      <sz val="10"/>
      <color rgb="FF000000"/>
      <name val="Calibri"/>
      <family val="2"/>
    </font>
    <font>
      <sz val="12"/>
      <color rgb="FFFF0000"/>
      <name val="Calibri"/>
      <family val="2"/>
      <scheme val="minor"/>
    </font>
    <font>
      <b/>
      <sz val="12"/>
      <color theme="0"/>
      <name val="Calibri"/>
      <family val="2"/>
      <scheme val="minor"/>
    </font>
    <font>
      <vertAlign val="subscript"/>
      <sz val="12"/>
      <color rgb="FF000000"/>
      <name val="Calibri"/>
      <family val="2"/>
      <scheme val="minor"/>
    </font>
    <font>
      <b/>
      <sz val="14"/>
      <color theme="1"/>
      <name val="Calibri"/>
      <family val="2"/>
      <scheme val="minor"/>
    </font>
    <font>
      <b/>
      <vertAlign val="subscript"/>
      <sz val="14"/>
      <color theme="1"/>
      <name val="Calibri (Body)"/>
    </font>
    <font>
      <sz val="11"/>
      <color theme="1"/>
      <name val="Calibri"/>
      <family val="2"/>
      <scheme val="minor"/>
    </font>
    <font>
      <sz val="9"/>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sz val="18"/>
      <color rgb="FF000000"/>
      <name val="Calibri"/>
      <family val="2"/>
      <scheme val="minor"/>
    </font>
    <font>
      <vertAlign val="subscript"/>
      <sz val="18"/>
      <color rgb="FF000000"/>
      <name val="Calibri"/>
      <family val="2"/>
      <scheme val="minor"/>
    </font>
    <font>
      <b/>
      <sz val="18"/>
      <color rgb="FF000000"/>
      <name val="Calibri"/>
      <family val="2"/>
      <scheme val="minor"/>
    </font>
    <font>
      <i/>
      <sz val="10"/>
      <color rgb="FF000000"/>
      <name val="Calibri"/>
      <family val="2"/>
      <scheme val="minor"/>
    </font>
    <font>
      <vertAlign val="subscript"/>
      <sz val="12"/>
      <color rgb="FF000000"/>
      <name val="Calibri (Body)"/>
    </font>
    <font>
      <b/>
      <sz val="9"/>
      <color rgb="FF000000"/>
      <name val="Tahoma"/>
      <family val="2"/>
    </font>
    <font>
      <sz val="9"/>
      <color rgb="FF000000"/>
      <name val="Tahoma"/>
      <family val="2"/>
    </font>
    <font>
      <sz val="12"/>
      <color theme="1"/>
      <name val="Arial"/>
      <family val="2"/>
    </font>
    <font>
      <sz val="12"/>
      <color theme="1"/>
      <name val="Calibri"/>
      <family val="2"/>
    </font>
    <font>
      <vertAlign val="subscript"/>
      <sz val="12"/>
      <color theme="1"/>
      <name val="Calibri"/>
      <family val="2"/>
    </font>
    <font>
      <i/>
      <sz val="12"/>
      <color theme="1"/>
      <name val="Calibri"/>
      <family val="2"/>
    </font>
    <font>
      <sz val="11"/>
      <color theme="1"/>
      <name val="Calibri (Body)"/>
    </font>
    <font>
      <i/>
      <sz val="12"/>
      <color theme="1"/>
      <name val="Calibri"/>
      <family val="2"/>
      <scheme val="minor"/>
    </font>
    <font>
      <i/>
      <sz val="12"/>
      <name val="Calibri"/>
      <family val="2"/>
      <scheme val="minor"/>
    </font>
    <font>
      <vertAlign val="subscript"/>
      <sz val="12"/>
      <name val="Calibri"/>
      <family val="2"/>
      <scheme val="minor"/>
    </font>
    <font>
      <sz val="12"/>
      <color theme="0"/>
      <name val="Calibri"/>
      <family val="2"/>
      <scheme val="minor"/>
    </font>
    <font>
      <b/>
      <vertAlign val="subscript"/>
      <sz val="12"/>
      <color theme="1"/>
      <name val="Calibri"/>
      <family val="2"/>
      <scheme val="minor"/>
    </font>
    <font>
      <sz val="14"/>
      <color theme="1"/>
      <name val="Calibri"/>
      <family val="2"/>
      <scheme val="minor"/>
    </font>
    <font>
      <vertAlign val="subscript"/>
      <sz val="14"/>
      <color theme="1"/>
      <name val="Calibri (Body)"/>
    </font>
    <font>
      <b/>
      <sz val="20"/>
      <color theme="1"/>
      <name val="Calibri"/>
      <family val="2"/>
      <scheme val="minor"/>
    </font>
    <font>
      <b/>
      <sz val="30"/>
      <color theme="1"/>
      <name val="Calibri"/>
      <family val="2"/>
      <scheme val="minor"/>
    </font>
    <font>
      <b/>
      <sz val="16"/>
      <color rgb="FFFF0000"/>
      <name val="Calibri"/>
      <family val="2"/>
      <scheme val="minor"/>
    </font>
    <font>
      <b/>
      <u/>
      <sz val="16"/>
      <color rgb="FFFF0000"/>
      <name val="Calibri (Body)"/>
    </font>
    <font>
      <sz val="12"/>
      <color theme="1"/>
      <name val="Adobe Myungjo Std M"/>
      <family val="1"/>
      <charset val="128"/>
    </font>
    <font>
      <vertAlign val="subscript"/>
      <sz val="8.4"/>
      <color theme="1"/>
      <name val="Calibri"/>
      <family val="2"/>
    </font>
    <font>
      <sz val="12"/>
      <color theme="1"/>
      <name val="Calibri"/>
      <family val="1"/>
      <charset val="128"/>
    </font>
    <font>
      <sz val="12"/>
      <color rgb="FF000000"/>
      <name val="Calibri"/>
      <family val="2"/>
    </font>
    <font>
      <sz val="9"/>
      <color indexed="81"/>
      <name val="Tahoma"/>
      <family val="2"/>
    </font>
    <font>
      <b/>
      <sz val="9"/>
      <color indexed="81"/>
      <name val="Tahoma"/>
      <family val="2"/>
    </font>
    <font>
      <b/>
      <sz val="12"/>
      <color rgb="FFFF0000"/>
      <name val="Calibri"/>
      <family val="2"/>
      <scheme val="minor"/>
    </font>
    <font>
      <u/>
      <sz val="12"/>
      <color theme="1"/>
      <name val="Calibri (Body)"/>
    </font>
    <font>
      <i/>
      <sz val="12"/>
      <color rgb="FFFF0000"/>
      <name val="Calibri"/>
      <family val="2"/>
      <scheme val="minor"/>
    </font>
    <font>
      <u/>
      <sz val="12"/>
      <color rgb="FFFF0000"/>
      <name val="Calibri (Body)"/>
    </font>
  </fonts>
  <fills count="2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FF"/>
        <bgColor rgb="FF000000"/>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3" tint="0.59999389629810485"/>
        <bgColor indexed="64"/>
      </patternFill>
    </fill>
    <fill>
      <patternFill patternType="solid">
        <fgColor theme="4"/>
        <bgColor theme="4"/>
      </patternFill>
    </fill>
    <fill>
      <patternFill patternType="solid">
        <fgColor theme="2" tint="-0.249977111117893"/>
        <bgColor indexed="64"/>
      </patternFill>
    </fill>
    <fill>
      <patternFill patternType="solid">
        <fgColor theme="2" tint="-9.9978637043366805E-2"/>
        <bgColor indexed="64"/>
      </patternFill>
    </fill>
    <fill>
      <patternFill patternType="solid">
        <fgColor rgb="FFFFF2CC"/>
        <bgColor rgb="FF000000"/>
      </patternFill>
    </fill>
    <fill>
      <patternFill patternType="solid">
        <fgColor rgb="FFFCE4D6"/>
        <bgColor rgb="FF000000"/>
      </patternFill>
    </fill>
    <fill>
      <patternFill patternType="solid">
        <fgColor rgb="FFE2EFDA"/>
        <bgColor rgb="FF000000"/>
      </patternFill>
    </fill>
    <fill>
      <patternFill patternType="solid">
        <fgColor theme="8" tint="0.79998168889431442"/>
        <bgColor rgb="FF000000"/>
      </patternFill>
    </fill>
    <fill>
      <patternFill patternType="solid">
        <fgColor theme="5" tint="0.79998168889431442"/>
        <bgColor rgb="FF000000"/>
      </patternFill>
    </fill>
  </fills>
  <borders count="10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rgb="FF000000"/>
      </bottom>
      <diagonal/>
    </border>
    <border>
      <left/>
      <right style="medium">
        <color rgb="FF000000"/>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theme="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bottom style="thin">
        <color indexed="64"/>
      </bottom>
      <diagonal/>
    </border>
    <border>
      <left style="thin">
        <color indexed="64"/>
      </left>
      <right style="thick">
        <color indexed="64"/>
      </right>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style="thin">
        <color indexed="64"/>
      </left>
      <right style="thick">
        <color indexed="64"/>
      </right>
      <top/>
      <bottom style="thick">
        <color indexed="64"/>
      </bottom>
      <diagonal/>
    </border>
    <border>
      <left/>
      <right/>
      <top style="thin">
        <color rgb="FF000000"/>
      </top>
      <bottom/>
      <diagonal/>
    </border>
    <border>
      <left/>
      <right/>
      <top/>
      <bottom style="thin">
        <color rgb="FF000000"/>
      </bottom>
      <diagonal/>
    </border>
    <border>
      <left/>
      <right style="medium">
        <color rgb="FF000000"/>
      </right>
      <top style="medium">
        <color indexed="64"/>
      </top>
      <bottom/>
      <diagonal/>
    </border>
    <border>
      <left style="medium">
        <color indexed="64"/>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thin">
        <color rgb="FF000000"/>
      </top>
      <bottom/>
      <diagonal/>
    </border>
    <border>
      <left/>
      <right style="medium">
        <color rgb="FF000000"/>
      </right>
      <top style="thin">
        <color rgb="FF000000"/>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rgb="FF000000"/>
      </top>
      <bottom/>
      <diagonal/>
    </border>
    <border>
      <left/>
      <right style="thin">
        <color indexed="64"/>
      </right>
      <top style="medium">
        <color indexed="64"/>
      </top>
      <bottom style="medium">
        <color indexed="64"/>
      </bottom>
      <diagonal/>
    </border>
    <border>
      <left/>
      <right style="medium">
        <color indexed="64"/>
      </right>
      <top/>
      <bottom style="thin">
        <color rgb="FF000000"/>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9" fontId="2" fillId="0" borderId="0" applyFont="0" applyFill="0" applyBorder="0" applyAlignment="0" applyProtection="0"/>
    <xf numFmtId="0" fontId="7" fillId="0" borderId="0" applyNumberFormat="0" applyFill="0" applyBorder="0" applyAlignment="0" applyProtection="0"/>
    <xf numFmtId="165" fontId="2" fillId="0" borderId="0" applyFont="0" applyFill="0" applyBorder="0" applyAlignment="0" applyProtection="0"/>
  </cellStyleXfs>
  <cellXfs count="1356">
    <xf numFmtId="0" fontId="0" fillId="0" borderId="0" xfId="0"/>
    <xf numFmtId="0" fontId="0" fillId="0" borderId="1" xfId="0" applyBorder="1"/>
    <xf numFmtId="0" fontId="0" fillId="4" borderId="0" xfId="0" applyFill="1"/>
    <xf numFmtId="0" fontId="4" fillId="0" borderId="3" xfId="0" applyFont="1" applyBorder="1" applyAlignment="1">
      <alignment horizontal="left" vertical="center"/>
    </xf>
    <xf numFmtId="0" fontId="4" fillId="0" borderId="3" xfId="0" applyFont="1" applyBorder="1"/>
    <xf numFmtId="0" fontId="0" fillId="2" borderId="1" xfId="0" applyFill="1" applyBorder="1" applyAlignment="1">
      <alignment horizontal="center"/>
    </xf>
    <xf numFmtId="0" fontId="0" fillId="3" borderId="3" xfId="0" applyFill="1" applyBorder="1"/>
    <xf numFmtId="0" fontId="0" fillId="4" borderId="1" xfId="0" applyFill="1" applyBorder="1"/>
    <xf numFmtId="0" fontId="0" fillId="2" borderId="2" xfId="0" applyFill="1" applyBorder="1" applyAlignment="1">
      <alignment horizontal="center"/>
    </xf>
    <xf numFmtId="9" fontId="0" fillId="2" borderId="2" xfId="0" applyNumberFormat="1" applyFill="1" applyBorder="1" applyAlignment="1">
      <alignment horizontal="center"/>
    </xf>
    <xf numFmtId="0" fontId="0" fillId="7" borderId="7" xfId="0" applyFill="1" applyBorder="1" applyAlignment="1">
      <alignment horizontal="center" vertical="center"/>
    </xf>
    <xf numFmtId="0" fontId="0" fillId="9" borderId="7" xfId="0" applyFill="1" applyBorder="1" applyAlignment="1">
      <alignment horizontal="center" vertical="center" wrapText="1"/>
    </xf>
    <xf numFmtId="0" fontId="0" fillId="12" borderId="7" xfId="0" applyFill="1" applyBorder="1" applyAlignment="1">
      <alignment horizontal="center" vertical="center" wrapText="1"/>
    </xf>
    <xf numFmtId="0" fontId="0" fillId="10" borderId="7" xfId="0" applyFill="1" applyBorder="1" applyAlignment="1">
      <alignment horizontal="center" vertical="center" wrapText="1"/>
    </xf>
    <xf numFmtId="0" fontId="0" fillId="12" borderId="9" xfId="0" applyFill="1" applyBorder="1" applyAlignment="1">
      <alignment horizontal="center" vertical="center" wrapText="1"/>
    </xf>
    <xf numFmtId="0" fontId="0" fillId="8" borderId="7" xfId="0" applyFill="1" applyBorder="1" applyAlignment="1">
      <alignment horizontal="center" vertical="center" wrapText="1"/>
    </xf>
    <xf numFmtId="0" fontId="0" fillId="11" borderId="7" xfId="0" applyFill="1" applyBorder="1" applyAlignment="1">
      <alignment horizontal="center" vertical="center" wrapText="1"/>
    </xf>
    <xf numFmtId="0" fontId="0" fillId="13" borderId="7" xfId="0" applyFill="1" applyBorder="1" applyAlignment="1">
      <alignment horizontal="center" vertical="center" wrapText="1"/>
    </xf>
    <xf numFmtId="0" fontId="0" fillId="6" borderId="10" xfId="0" applyFill="1" applyBorder="1"/>
    <xf numFmtId="0" fontId="0" fillId="7" borderId="11" xfId="0" applyFill="1" applyBorder="1"/>
    <xf numFmtId="0" fontId="0" fillId="9" borderId="11" xfId="0" applyFill="1" applyBorder="1" applyAlignment="1">
      <alignment horizontal="center"/>
    </xf>
    <xf numFmtId="0" fontId="0" fillId="12" borderId="11" xfId="0" applyFill="1" applyBorder="1" applyAlignment="1">
      <alignment horizontal="center"/>
    </xf>
    <xf numFmtId="0" fontId="0" fillId="10" borderId="11" xfId="0" applyFill="1" applyBorder="1" applyAlignment="1">
      <alignment horizontal="center"/>
    </xf>
    <xf numFmtId="0" fontId="0" fillId="12" borderId="12" xfId="0" applyFill="1" applyBorder="1" applyAlignment="1">
      <alignment horizontal="center"/>
    </xf>
    <xf numFmtId="0" fontId="0" fillId="8" borderId="11" xfId="0" applyFill="1" applyBorder="1" applyAlignment="1">
      <alignment horizontal="center"/>
    </xf>
    <xf numFmtId="0" fontId="0" fillId="11" borderId="11" xfId="0" applyFill="1" applyBorder="1" applyAlignment="1">
      <alignment horizontal="center"/>
    </xf>
    <xf numFmtId="0" fontId="0" fillId="13" borderId="11" xfId="0" applyFill="1" applyBorder="1" applyAlignment="1">
      <alignment horizontal="center"/>
    </xf>
    <xf numFmtId="0" fontId="0" fillId="14" borderId="13" xfId="0" applyFill="1" applyBorder="1" applyAlignment="1">
      <alignment horizontal="center"/>
    </xf>
    <xf numFmtId="0" fontId="0" fillId="6" borderId="14" xfId="0" applyFill="1" applyBorder="1" applyAlignment="1">
      <alignment horizontal="center" vertical="center"/>
    </xf>
    <xf numFmtId="0" fontId="0" fillId="14" borderId="15" xfId="0" applyFill="1" applyBorder="1" applyAlignment="1">
      <alignment horizontal="center" vertical="center" wrapText="1"/>
    </xf>
    <xf numFmtId="0" fontId="9" fillId="15" borderId="0" xfId="0" applyFont="1" applyFill="1"/>
    <xf numFmtId="0" fontId="0" fillId="15" borderId="0" xfId="0" applyFill="1"/>
    <xf numFmtId="0" fontId="7" fillId="15" borderId="0" xfId="2" applyFill="1" applyAlignment="1">
      <alignment horizontal="center"/>
    </xf>
    <xf numFmtId="0" fontId="0" fillId="0" borderId="22" xfId="0" applyBorder="1"/>
    <xf numFmtId="0" fontId="0" fillId="10" borderId="1" xfId="0" applyFill="1" applyBorder="1"/>
    <xf numFmtId="0" fontId="0" fillId="0" borderId="0" xfId="0" applyAlignment="1">
      <alignment horizontal="right"/>
    </xf>
    <xf numFmtId="0" fontId="0" fillId="0" borderId="37" xfId="0" applyBorder="1"/>
    <xf numFmtId="0" fontId="0" fillId="0" borderId="6" xfId="0" applyBorder="1"/>
    <xf numFmtId="0" fontId="4" fillId="0" borderId="3" xfId="0" applyFont="1" applyBorder="1" applyAlignment="1">
      <alignment vertical="center"/>
    </xf>
    <xf numFmtId="0" fontId="4" fillId="4" borderId="3" xfId="0" applyFont="1" applyFill="1" applyBorder="1" applyAlignment="1">
      <alignment vertical="center"/>
    </xf>
    <xf numFmtId="0" fontId="4" fillId="0" borderId="1" xfId="0" applyFont="1" applyBorder="1" applyAlignment="1">
      <alignment vertical="center"/>
    </xf>
    <xf numFmtId="0" fontId="7" fillId="0" borderId="0" xfId="2" applyBorder="1"/>
    <xf numFmtId="0" fontId="0" fillId="0" borderId="1" xfId="0" applyBorder="1" applyAlignment="1">
      <alignment horizontal="left"/>
    </xf>
    <xf numFmtId="0" fontId="7" fillId="0" borderId="6" xfId="2" applyBorder="1"/>
    <xf numFmtId="1" fontId="0" fillId="15" borderId="0" xfId="0" applyNumberFormat="1" applyFill="1"/>
    <xf numFmtId="0" fontId="0" fillId="0" borderId="2" xfId="0" applyBorder="1"/>
    <xf numFmtId="0" fontId="0" fillId="0" borderId="25" xfId="0" applyBorder="1"/>
    <xf numFmtId="0" fontId="0" fillId="0" borderId="3" xfId="0" applyBorder="1"/>
    <xf numFmtId="0" fontId="0" fillId="0" borderId="9" xfId="0" applyBorder="1"/>
    <xf numFmtId="0" fontId="0" fillId="0" borderId="23" xfId="0" applyBorder="1"/>
    <xf numFmtId="0" fontId="0" fillId="0" borderId="4" xfId="0" applyBorder="1"/>
    <xf numFmtId="0" fontId="7" fillId="0" borderId="22" xfId="2" applyBorder="1"/>
    <xf numFmtId="0" fontId="0" fillId="0" borderId="31" xfId="0" applyBorder="1"/>
    <xf numFmtId="0" fontId="0" fillId="0" borderId="8" xfId="0" applyBorder="1"/>
    <xf numFmtId="0" fontId="0" fillId="20" borderId="11" xfId="0" applyFill="1" applyBorder="1" applyAlignment="1">
      <alignment horizontal="left"/>
    </xf>
    <xf numFmtId="0" fontId="0" fillId="20" borderId="7" xfId="0" applyFill="1" applyBorder="1" applyAlignment="1">
      <alignment horizontal="center" vertical="center"/>
    </xf>
    <xf numFmtId="0" fontId="0" fillId="20" borderId="11" xfId="0" applyFill="1" applyBorder="1" applyAlignment="1">
      <alignment horizontal="center"/>
    </xf>
    <xf numFmtId="2" fontId="0" fillId="2" borderId="2" xfId="0" applyNumberFormat="1" applyFill="1" applyBorder="1" applyAlignment="1">
      <alignment horizontal="center"/>
    </xf>
    <xf numFmtId="0" fontId="10" fillId="0" borderId="1" xfId="0" applyFont="1" applyBorder="1"/>
    <xf numFmtId="9" fontId="0" fillId="2" borderId="2" xfId="1" applyFont="1" applyFill="1" applyBorder="1" applyAlignment="1">
      <alignment horizontal="center"/>
    </xf>
    <xf numFmtId="0" fontId="4" fillId="0" borderId="25" xfId="0" applyFont="1" applyBorder="1" applyAlignment="1">
      <alignment horizontal="left" vertical="center"/>
    </xf>
    <xf numFmtId="0" fontId="4" fillId="0" borderId="25" xfId="0" applyFont="1" applyBorder="1"/>
    <xf numFmtId="0" fontId="0" fillId="19" borderId="1" xfId="0" applyFill="1" applyBorder="1"/>
    <xf numFmtId="0" fontId="0" fillId="3" borderId="25" xfId="0" applyFill="1" applyBorder="1"/>
    <xf numFmtId="0" fontId="0" fillId="0" borderId="39" xfId="0" applyBorder="1" applyAlignment="1">
      <alignment horizontal="center" vertical="center"/>
    </xf>
    <xf numFmtId="0" fontId="7" fillId="0" borderId="0" xfId="2" applyNumberFormat="1" applyBorder="1"/>
    <xf numFmtId="0" fontId="0" fillId="3" borderId="39" xfId="0" applyFill="1" applyBorder="1" applyAlignment="1">
      <alignment horizontal="center"/>
    </xf>
    <xf numFmtId="0" fontId="0" fillId="0" borderId="60" xfId="0" applyBorder="1"/>
    <xf numFmtId="0" fontId="0" fillId="0" borderId="12" xfId="0" applyBorder="1"/>
    <xf numFmtId="0" fontId="0" fillId="2" borderId="12" xfId="0" applyFill="1" applyBorder="1"/>
    <xf numFmtId="0" fontId="0" fillId="0" borderId="64" xfId="0" applyBorder="1"/>
    <xf numFmtId="0" fontId="27" fillId="11" borderId="7" xfId="0" applyFont="1" applyFill="1" applyBorder="1" applyAlignment="1">
      <alignment horizontal="center" vertical="center" wrapText="1"/>
    </xf>
    <xf numFmtId="0" fontId="18" fillId="11" borderId="7" xfId="0" applyFont="1" applyFill="1" applyBorder="1" applyAlignment="1">
      <alignment horizontal="center" vertical="center" wrapText="1"/>
    </xf>
    <xf numFmtId="0" fontId="0" fillId="6" borderId="71" xfId="0" applyFill="1" applyBorder="1"/>
    <xf numFmtId="0" fontId="0" fillId="7" borderId="72" xfId="0" applyFill="1" applyBorder="1"/>
    <xf numFmtId="0" fontId="0" fillId="20" borderId="72" xfId="0" applyFill="1" applyBorder="1" applyAlignment="1">
      <alignment horizontal="center"/>
    </xf>
    <xf numFmtId="0" fontId="0" fillId="12" borderId="72" xfId="0" applyFill="1" applyBorder="1" applyAlignment="1">
      <alignment horizontal="center"/>
    </xf>
    <xf numFmtId="0" fontId="0" fillId="10" borderId="72" xfId="0" applyFill="1" applyBorder="1" applyAlignment="1">
      <alignment horizontal="center"/>
    </xf>
    <xf numFmtId="0" fontId="0" fillId="8" borderId="72" xfId="0" applyFill="1" applyBorder="1" applyAlignment="1">
      <alignment horizontal="center"/>
    </xf>
    <xf numFmtId="0" fontId="0" fillId="11" borderId="72" xfId="0" applyFill="1" applyBorder="1" applyAlignment="1">
      <alignment horizontal="center"/>
    </xf>
    <xf numFmtId="0" fontId="0" fillId="13" borderId="72" xfId="0" applyFill="1" applyBorder="1" applyAlignment="1">
      <alignment horizontal="center"/>
    </xf>
    <xf numFmtId="0" fontId="0" fillId="14" borderId="73" xfId="0" applyFill="1" applyBorder="1" applyAlignment="1">
      <alignment horizontal="center"/>
    </xf>
    <xf numFmtId="0" fontId="0" fillId="6" borderId="74" xfId="0" applyFill="1" applyBorder="1" applyAlignment="1">
      <alignment horizontal="center"/>
    </xf>
    <xf numFmtId="0" fontId="0" fillId="7" borderId="9" xfId="0" applyFill="1" applyBorder="1" applyAlignment="1">
      <alignment horizontal="center"/>
    </xf>
    <xf numFmtId="0" fontId="0" fillId="4" borderId="76" xfId="0" applyFill="1" applyBorder="1" applyAlignment="1">
      <alignment horizontal="center" vertical="center"/>
    </xf>
    <xf numFmtId="0" fontId="0" fillId="4" borderId="31" xfId="0" applyFill="1" applyBorder="1" applyAlignment="1">
      <alignment horizontal="center" vertical="center"/>
    </xf>
    <xf numFmtId="2" fontId="0" fillId="4" borderId="31" xfId="0" applyNumberFormat="1" applyFill="1" applyBorder="1" applyAlignment="1">
      <alignment horizontal="center" vertical="center"/>
    </xf>
    <xf numFmtId="2" fontId="0" fillId="4" borderId="4" xfId="0" applyNumberFormat="1" applyFill="1" applyBorder="1" applyAlignment="1">
      <alignment horizontal="center" vertical="center"/>
    </xf>
    <xf numFmtId="171" fontId="0" fillId="15" borderId="0" xfId="0" applyNumberFormat="1" applyFill="1"/>
    <xf numFmtId="0" fontId="0" fillId="4" borderId="78" xfId="0" applyFill="1" applyBorder="1" applyAlignment="1">
      <alignment horizontal="center" vertical="center"/>
    </xf>
    <xf numFmtId="0" fontId="0" fillId="4" borderId="8" xfId="0" applyFill="1" applyBorder="1" applyAlignment="1">
      <alignment horizontal="center" vertical="center"/>
    </xf>
    <xf numFmtId="2" fontId="0" fillId="4" borderId="8" xfId="0" applyNumberFormat="1" applyFill="1" applyBorder="1" applyAlignment="1">
      <alignment horizontal="center" vertical="center"/>
    </xf>
    <xf numFmtId="2" fontId="0" fillId="4" borderId="37" xfId="0" applyNumberFormat="1" applyFill="1" applyBorder="1" applyAlignment="1">
      <alignment horizontal="center" vertical="center"/>
    </xf>
    <xf numFmtId="0" fontId="0" fillId="4" borderId="79" xfId="0" applyFill="1" applyBorder="1" applyAlignment="1">
      <alignment horizontal="center" vertical="center"/>
    </xf>
    <xf numFmtId="0" fontId="0" fillId="4" borderId="80" xfId="0" applyFill="1" applyBorder="1" applyAlignment="1">
      <alignment horizontal="center" vertical="center"/>
    </xf>
    <xf numFmtId="2" fontId="0" fillId="4" borderId="80" xfId="0" applyNumberFormat="1" applyFill="1" applyBorder="1" applyAlignment="1">
      <alignment horizontal="center" vertical="center"/>
    </xf>
    <xf numFmtId="2" fontId="0" fillId="4" borderId="81" xfId="0" applyNumberFormat="1" applyFill="1" applyBorder="1" applyAlignment="1">
      <alignment horizontal="center" vertical="center"/>
    </xf>
    <xf numFmtId="2" fontId="13" fillId="26" borderId="2" xfId="0" applyNumberFormat="1" applyFont="1" applyFill="1" applyBorder="1" applyAlignment="1">
      <alignment horizontal="center"/>
    </xf>
    <xf numFmtId="0" fontId="0" fillId="20" borderId="8" xfId="0" applyFill="1" applyBorder="1" applyAlignment="1">
      <alignment horizontal="center" vertical="center" wrapText="1"/>
    </xf>
    <xf numFmtId="0" fontId="0" fillId="12" borderId="8" xfId="0" applyFill="1" applyBorder="1" applyAlignment="1">
      <alignment horizontal="center" vertical="center" wrapText="1"/>
    </xf>
    <xf numFmtId="0" fontId="0" fillId="10" borderId="8" xfId="0" applyFill="1" applyBorder="1" applyAlignment="1">
      <alignment horizontal="center" vertical="center" wrapText="1"/>
    </xf>
    <xf numFmtId="0" fontId="0" fillId="8" borderId="8" xfId="0" applyFill="1" applyBorder="1" applyAlignment="1">
      <alignment horizontal="center" vertical="center" wrapText="1"/>
    </xf>
    <xf numFmtId="0" fontId="0" fillId="11" borderId="8" xfId="0" applyFill="1" applyBorder="1" applyAlignment="1">
      <alignment horizontal="center" vertical="center" wrapText="1"/>
    </xf>
    <xf numFmtId="0" fontId="0" fillId="13" borderId="8" xfId="0" applyFill="1" applyBorder="1" applyAlignment="1">
      <alignment horizontal="center" vertical="center" wrapText="1"/>
    </xf>
    <xf numFmtId="0" fontId="0" fillId="14" borderId="75" xfId="0" applyFill="1" applyBorder="1" applyAlignment="1">
      <alignment horizontal="center" vertical="center" wrapText="1"/>
    </xf>
    <xf numFmtId="0" fontId="27" fillId="11" borderId="8" xfId="0" applyFont="1" applyFill="1" applyBorder="1" applyAlignment="1">
      <alignment horizontal="center" vertical="center" wrapText="1"/>
    </xf>
    <xf numFmtId="2" fontId="0" fillId="0" borderId="0" xfId="0" applyNumberFormat="1" applyAlignment="1">
      <alignment horizontal="right"/>
    </xf>
    <xf numFmtId="0" fontId="0" fillId="23" borderId="3" xfId="0" applyFill="1" applyBorder="1"/>
    <xf numFmtId="0" fontId="0" fillId="22" borderId="7" xfId="0" applyFill="1" applyBorder="1"/>
    <xf numFmtId="0" fontId="0" fillId="10" borderId="9" xfId="0" applyFill="1" applyBorder="1"/>
    <xf numFmtId="0" fontId="0" fillId="9" borderId="9" xfId="0" applyFill="1" applyBorder="1"/>
    <xf numFmtId="0" fontId="0" fillId="9" borderId="23" xfId="0" applyFill="1" applyBorder="1"/>
    <xf numFmtId="0" fontId="0" fillId="23" borderId="5" xfId="0" applyFill="1" applyBorder="1"/>
    <xf numFmtId="166" fontId="0" fillId="3" borderId="1" xfId="0" applyNumberFormat="1" applyFill="1" applyBorder="1"/>
    <xf numFmtId="166" fontId="0" fillId="15" borderId="0" xfId="0" applyNumberFormat="1" applyFill="1"/>
    <xf numFmtId="164" fontId="0" fillId="15" borderId="0" xfId="0" applyNumberFormat="1" applyFill="1"/>
    <xf numFmtId="0" fontId="7" fillId="0" borderId="5" xfId="2" applyNumberFormat="1" applyBorder="1"/>
    <xf numFmtId="0" fontId="7" fillId="0" borderId="6" xfId="2" applyNumberFormat="1" applyBorder="1"/>
    <xf numFmtId="0" fontId="0" fillId="19" borderId="1" xfId="0" applyFill="1" applyBorder="1" applyAlignment="1">
      <alignment horizontal="center"/>
    </xf>
    <xf numFmtId="0" fontId="7" fillId="0" borderId="0" xfId="2" applyFill="1" applyBorder="1"/>
    <xf numFmtId="1" fontId="0" fillId="4" borderId="77" xfId="0" applyNumberFormat="1" applyFill="1" applyBorder="1" applyAlignment="1">
      <alignment horizontal="center" vertical="center"/>
    </xf>
    <xf numFmtId="1" fontId="0" fillId="4" borderId="75" xfId="0" applyNumberFormat="1" applyFill="1" applyBorder="1" applyAlignment="1">
      <alignment horizontal="center" vertical="center"/>
    </xf>
    <xf numFmtId="1" fontId="0" fillId="4" borderId="82" xfId="0" applyNumberFormat="1" applyFill="1" applyBorder="1" applyAlignment="1">
      <alignment horizontal="center" vertical="center"/>
    </xf>
    <xf numFmtId="0" fontId="0" fillId="20" borderId="7" xfId="0" applyFill="1" applyBorder="1" applyAlignment="1">
      <alignment horizontal="center" vertical="center" wrapText="1"/>
    </xf>
    <xf numFmtId="2" fontId="0" fillId="2" borderId="1" xfId="0" applyNumberFormat="1" applyFill="1" applyBorder="1" applyAlignment="1">
      <alignment horizontal="center"/>
    </xf>
    <xf numFmtId="2" fontId="13" fillId="26" borderId="1" xfId="0" applyNumberFormat="1" applyFont="1" applyFill="1" applyBorder="1" applyAlignment="1">
      <alignment horizontal="center"/>
    </xf>
    <xf numFmtId="0" fontId="0" fillId="19" borderId="1" xfId="0" applyFill="1" applyBorder="1" applyAlignment="1">
      <alignment horizontal="center" vertical="center" wrapText="1"/>
    </xf>
    <xf numFmtId="1" fontId="0" fillId="4" borderId="31" xfId="0" applyNumberFormat="1" applyFill="1" applyBorder="1" applyAlignment="1">
      <alignment horizontal="center" vertical="center"/>
    </xf>
    <xf numFmtId="1" fontId="0" fillId="4" borderId="8" xfId="0" applyNumberFormat="1" applyFill="1" applyBorder="1" applyAlignment="1">
      <alignment horizontal="center" vertical="center"/>
    </xf>
    <xf numFmtId="1" fontId="0" fillId="4" borderId="80" xfId="0" applyNumberFormat="1" applyFill="1" applyBorder="1" applyAlignment="1">
      <alignment horizontal="center" vertical="center"/>
    </xf>
    <xf numFmtId="9" fontId="0" fillId="2" borderId="1" xfId="1" applyFont="1" applyFill="1" applyBorder="1" applyAlignment="1">
      <alignment horizontal="center"/>
    </xf>
    <xf numFmtId="0" fontId="44" fillId="0" borderId="0" xfId="0" applyFont="1"/>
    <xf numFmtId="9" fontId="0" fillId="2" borderId="1" xfId="1" applyFont="1" applyFill="1" applyBorder="1" applyAlignment="1">
      <alignment horizontal="center" vertical="center"/>
    </xf>
    <xf numFmtId="0" fontId="0" fillId="0" borderId="24" xfId="0" applyBorder="1"/>
    <xf numFmtId="2" fontId="0" fillId="0" borderId="24" xfId="0" applyNumberFormat="1" applyBorder="1" applyAlignment="1">
      <alignment horizontal="right"/>
    </xf>
    <xf numFmtId="0" fontId="7" fillId="0" borderId="24" xfId="2" applyBorder="1"/>
    <xf numFmtId="0" fontId="7" fillId="0" borderId="7" xfId="2" applyBorder="1"/>
    <xf numFmtId="0" fontId="7" fillId="0" borderId="6" xfId="2" applyFill="1" applyBorder="1"/>
    <xf numFmtId="0" fontId="0" fillId="0" borderId="24" xfId="0" applyBorder="1" applyAlignment="1">
      <alignment horizontal="right"/>
    </xf>
    <xf numFmtId="0" fontId="0" fillId="0" borderId="7" xfId="0" applyBorder="1"/>
    <xf numFmtId="0" fontId="7" fillId="0" borderId="5" xfId="2" applyBorder="1"/>
    <xf numFmtId="0" fontId="7" fillId="0" borderId="7" xfId="2" applyFill="1" applyBorder="1"/>
    <xf numFmtId="0" fontId="0" fillId="3" borderId="38" xfId="0" applyFill="1" applyBorder="1" applyAlignment="1">
      <alignment horizontal="right"/>
    </xf>
    <xf numFmtId="0" fontId="7" fillId="3" borderId="38" xfId="2" applyFill="1" applyBorder="1" applyAlignment="1">
      <alignment horizontal="right"/>
    </xf>
    <xf numFmtId="0" fontId="0" fillId="3" borderId="40" xfId="0" applyFill="1" applyBorder="1" applyAlignment="1">
      <alignment horizontal="right"/>
    </xf>
    <xf numFmtId="0" fontId="0" fillId="3" borderId="39" xfId="0" applyFill="1" applyBorder="1" applyAlignment="1">
      <alignment horizontal="center" vertical="center"/>
    </xf>
    <xf numFmtId="0" fontId="0" fillId="3" borderId="42" xfId="0" applyFill="1" applyBorder="1" applyAlignment="1">
      <alignment horizontal="center" vertical="center"/>
    </xf>
    <xf numFmtId="0" fontId="0" fillId="9" borderId="48" xfId="0" applyFill="1" applyBorder="1" applyAlignment="1">
      <alignment horizontal="center" vertical="center"/>
    </xf>
    <xf numFmtId="0" fontId="0" fillId="9" borderId="39" xfId="0" applyFill="1" applyBorder="1" applyAlignment="1">
      <alignment horizontal="center" vertical="center"/>
    </xf>
    <xf numFmtId="0" fontId="0" fillId="4" borderId="17" xfId="0" applyFill="1" applyBorder="1"/>
    <xf numFmtId="0" fontId="0" fillId="9" borderId="38" xfId="0" applyFill="1" applyBorder="1" applyAlignment="1">
      <alignment horizontal="right"/>
    </xf>
    <xf numFmtId="0" fontId="7" fillId="15" borderId="0" xfId="2" applyFill="1"/>
    <xf numFmtId="0" fontId="0" fillId="9" borderId="38" xfId="0" applyFill="1" applyBorder="1" applyAlignment="1">
      <alignment horizontal="center"/>
    </xf>
    <xf numFmtId="0" fontId="0" fillId="9" borderId="39" xfId="0" applyFill="1" applyBorder="1" applyAlignment="1">
      <alignment horizontal="center"/>
    </xf>
    <xf numFmtId="0" fontId="0" fillId="2" borderId="39" xfId="0" applyFill="1" applyBorder="1" applyAlignment="1">
      <alignment horizontal="center"/>
    </xf>
    <xf numFmtId="0" fontId="0" fillId="9" borderId="38" xfId="0" applyFill="1" applyBorder="1" applyAlignment="1">
      <alignment horizontal="center" vertical="center"/>
    </xf>
    <xf numFmtId="0" fontId="0" fillId="2" borderId="14" xfId="0" applyFill="1" applyBorder="1" applyAlignment="1">
      <alignment horizontal="center" vertical="center"/>
    </xf>
    <xf numFmtId="0" fontId="0" fillId="2" borderId="92" xfId="0" applyFill="1" applyBorder="1" applyAlignment="1">
      <alignment horizontal="center" vertical="center"/>
    </xf>
    <xf numFmtId="0" fontId="0" fillId="4" borderId="0" xfId="0" applyFill="1" applyAlignment="1">
      <alignment horizontal="right"/>
    </xf>
    <xf numFmtId="0" fontId="0" fillId="4" borderId="28" xfId="0" applyFill="1" applyBorder="1" applyAlignment="1">
      <alignment horizontal="center"/>
    </xf>
    <xf numFmtId="0" fontId="0" fillId="4" borderId="17" xfId="0" applyFill="1" applyBorder="1" applyAlignment="1">
      <alignment horizontal="center"/>
    </xf>
    <xf numFmtId="0" fontId="1" fillId="0" borderId="64" xfId="0" applyFont="1" applyBorder="1" applyAlignment="1">
      <alignment horizontal="center"/>
    </xf>
    <xf numFmtId="0" fontId="0" fillId="9" borderId="95" xfId="0" applyFill="1" applyBorder="1" applyAlignment="1">
      <alignment horizontal="center"/>
    </xf>
    <xf numFmtId="0" fontId="0" fillId="4" borderId="60" xfId="0" applyFill="1" applyBorder="1" applyAlignment="1">
      <alignment horizontal="center"/>
    </xf>
    <xf numFmtId="0" fontId="0" fillId="9" borderId="95" xfId="0" applyFill="1" applyBorder="1" applyAlignment="1">
      <alignment horizontal="center" vertical="center"/>
    </xf>
    <xf numFmtId="0" fontId="0" fillId="3" borderId="95" xfId="0" applyFill="1" applyBorder="1" applyAlignment="1">
      <alignment horizontal="center" vertical="center"/>
    </xf>
    <xf numFmtId="0" fontId="0" fillId="2" borderId="98" xfId="0" applyFill="1" applyBorder="1" applyAlignment="1">
      <alignment horizontal="center"/>
    </xf>
    <xf numFmtId="0" fontId="1" fillId="0" borderId="40" xfId="0" applyFont="1" applyBorder="1" applyAlignment="1">
      <alignment horizontal="center"/>
    </xf>
    <xf numFmtId="0" fontId="0" fillId="2" borderId="70" xfId="0" applyFill="1" applyBorder="1" applyAlignment="1">
      <alignment horizontal="center" vertical="center"/>
    </xf>
    <xf numFmtId="166" fontId="0" fillId="4" borderId="0" xfId="0" applyNumberFormat="1" applyFill="1"/>
    <xf numFmtId="0" fontId="47" fillId="4" borderId="0" xfId="0" applyFont="1" applyFill="1"/>
    <xf numFmtId="0" fontId="0" fillId="4" borderId="0" xfId="0" applyFill="1" applyAlignment="1">
      <alignment horizontal="center"/>
    </xf>
    <xf numFmtId="166" fontId="0" fillId="4" borderId="0" xfId="0" applyNumberFormat="1" applyFill="1" applyAlignment="1">
      <alignment horizontal="center"/>
    </xf>
    <xf numFmtId="2" fontId="0" fillId="4" borderId="0" xfId="0" applyNumberFormat="1" applyFill="1"/>
    <xf numFmtId="171" fontId="0" fillId="4" borderId="0" xfId="0" applyNumberFormat="1" applyFill="1"/>
    <xf numFmtId="0" fontId="22" fillId="4" borderId="0" xfId="0" applyFont="1" applyFill="1"/>
    <xf numFmtId="9" fontId="0" fillId="4" borderId="0" xfId="1" applyFont="1" applyFill="1"/>
    <xf numFmtId="0" fontId="0" fillId="3" borderId="3" xfId="0" applyFill="1" applyBorder="1" applyAlignment="1">
      <alignment horizontal="right"/>
    </xf>
    <xf numFmtId="0" fontId="0" fillId="9" borderId="3" xfId="0" applyFill="1" applyBorder="1" applyAlignment="1">
      <alignment horizontal="right"/>
    </xf>
    <xf numFmtId="0" fontId="0" fillId="9" borderId="25" xfId="0" applyFill="1" applyBorder="1" applyAlignment="1">
      <alignment horizontal="center" vertical="center"/>
    </xf>
    <xf numFmtId="0" fontId="0" fillId="4" borderId="63" xfId="0" applyFill="1" applyBorder="1" applyAlignment="1">
      <alignment horizontal="right"/>
    </xf>
    <xf numFmtId="0" fontId="0" fillId="4" borderId="50" xfId="0" applyFill="1" applyBorder="1"/>
    <xf numFmtId="0" fontId="22" fillId="2" borderId="39" xfId="0" applyFont="1" applyFill="1" applyBorder="1" applyAlignment="1">
      <alignment vertical="center" wrapText="1"/>
    </xf>
    <xf numFmtId="2" fontId="0" fillId="2" borderId="1" xfId="1" applyNumberFormat="1" applyFont="1" applyFill="1" applyBorder="1" applyAlignment="1">
      <alignment horizontal="center"/>
    </xf>
    <xf numFmtId="10" fontId="0" fillId="2" borderId="1" xfId="0" applyNumberFormat="1" applyFill="1" applyBorder="1" applyAlignment="1">
      <alignment horizontal="center"/>
    </xf>
    <xf numFmtId="0" fontId="0" fillId="2" borderId="1" xfId="0" applyFill="1" applyBorder="1"/>
    <xf numFmtId="9" fontId="0" fillId="2" borderId="1" xfId="1" applyFont="1" applyFill="1" applyBorder="1"/>
    <xf numFmtId="0" fontId="7" fillId="0" borderId="22" xfId="2" applyFill="1" applyBorder="1"/>
    <xf numFmtId="0" fontId="7" fillId="0" borderId="24" xfId="2" applyFill="1" applyBorder="1"/>
    <xf numFmtId="0" fontId="45" fillId="0" borderId="6" xfId="2" applyFont="1" applyFill="1" applyBorder="1"/>
    <xf numFmtId="0" fontId="45" fillId="0" borderId="0" xfId="2" applyFont="1" applyFill="1" applyBorder="1"/>
    <xf numFmtId="1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9" borderId="100" xfId="0" applyFill="1" applyBorder="1" applyAlignment="1">
      <alignment horizontal="center"/>
    </xf>
    <xf numFmtId="0" fontId="0" fillId="0" borderId="95" xfId="0" applyBorder="1"/>
    <xf numFmtId="0" fontId="8" fillId="16" borderId="95" xfId="0" applyFont="1" applyFill="1" applyBorder="1" applyAlignment="1">
      <alignment horizontal="center"/>
    </xf>
    <xf numFmtId="0" fontId="0" fillId="4" borderId="60" xfId="0" applyFill="1" applyBorder="1"/>
    <xf numFmtId="0" fontId="0" fillId="4" borderId="98" xfId="0" applyFill="1" applyBorder="1"/>
    <xf numFmtId="0" fontId="0" fillId="9" borderId="60" xfId="0" applyFill="1" applyBorder="1" applyAlignment="1">
      <alignment horizontal="center"/>
    </xf>
    <xf numFmtId="0" fontId="1" fillId="0" borderId="61" xfId="0" applyFont="1" applyBorder="1" applyAlignment="1">
      <alignment horizontal="center"/>
    </xf>
    <xf numFmtId="0" fontId="0" fillId="12" borderId="1" xfId="0" applyFill="1" applyBorder="1" applyAlignment="1">
      <alignment horizontal="center"/>
    </xf>
    <xf numFmtId="0" fontId="0" fillId="4" borderId="61" xfId="0" applyFill="1" applyBorder="1"/>
    <xf numFmtId="0" fontId="0" fillId="10" borderId="8" xfId="0" applyFill="1" applyBorder="1"/>
    <xf numFmtId="0" fontId="7" fillId="0" borderId="0" xfId="2" applyFill="1" applyBorder="1" applyAlignment="1">
      <alignment horizontal="right"/>
    </xf>
    <xf numFmtId="0" fontId="44" fillId="0" borderId="6" xfId="0" applyFont="1" applyBorder="1"/>
    <xf numFmtId="0" fontId="19" fillId="0" borderId="0" xfId="2" applyFont="1" applyFill="1" applyBorder="1"/>
    <xf numFmtId="2" fontId="0" fillId="2" borderId="1" xfId="0" applyNumberFormat="1" applyFill="1" applyBorder="1"/>
    <xf numFmtId="177" fontId="0" fillId="2" borderId="1" xfId="0" applyNumberFormat="1" applyFill="1" applyBorder="1" applyAlignment="1">
      <alignment horizontal="center"/>
    </xf>
    <xf numFmtId="1" fontId="0" fillId="4" borderId="0" xfId="0" applyNumberFormat="1" applyFill="1"/>
    <xf numFmtId="0" fontId="7" fillId="0" borderId="0" xfId="2" applyFill="1" applyBorder="1" applyAlignment="1">
      <alignment horizontal="left" vertical="center"/>
    </xf>
    <xf numFmtId="9" fontId="0" fillId="4" borderId="0" xfId="0" applyNumberFormat="1" applyFill="1"/>
    <xf numFmtId="0" fontId="7" fillId="4" borderId="0" xfId="2" applyFill="1" applyAlignment="1"/>
    <xf numFmtId="0" fontId="45" fillId="0" borderId="0" xfId="2" applyFont="1" applyBorder="1"/>
    <xf numFmtId="0" fontId="7" fillId="4" borderId="0" xfId="2" applyFill="1"/>
    <xf numFmtId="0" fontId="7" fillId="0" borderId="31" xfId="2" applyBorder="1"/>
    <xf numFmtId="2" fontId="0" fillId="4" borderId="0" xfId="1" applyNumberFormat="1" applyFont="1" applyFill="1"/>
    <xf numFmtId="0" fontId="4" fillId="4" borderId="0" xfId="0" applyFont="1" applyFill="1"/>
    <xf numFmtId="0" fontId="1" fillId="4" borderId="0" xfId="0" applyFont="1" applyFill="1" applyAlignment="1">
      <alignment horizontal="center"/>
    </xf>
    <xf numFmtId="0" fontId="0" fillId="4" borderId="0" xfId="0" applyFill="1" applyAlignment="1">
      <alignment vertical="center"/>
    </xf>
    <xf numFmtId="0" fontId="0" fillId="4" borderId="22" xfId="0" applyFill="1" applyBorder="1"/>
    <xf numFmtId="167" fontId="0" fillId="4" borderId="0" xfId="1" applyNumberFormat="1" applyFont="1" applyFill="1"/>
    <xf numFmtId="0" fontId="0" fillId="4" borderId="0" xfId="0" applyFill="1" applyAlignment="1">
      <alignment horizontal="left"/>
    </xf>
    <xf numFmtId="0" fontId="1" fillId="4" borderId="23" xfId="0" applyFont="1" applyFill="1" applyBorder="1" applyAlignment="1">
      <alignment horizontal="center"/>
    </xf>
    <xf numFmtId="0" fontId="1" fillId="4" borderId="24" xfId="0" applyFont="1" applyFill="1" applyBorder="1" applyAlignment="1">
      <alignment horizontal="center"/>
    </xf>
    <xf numFmtId="0" fontId="0" fillId="4" borderId="2" xfId="0" applyFill="1" applyBorder="1"/>
    <xf numFmtId="0" fontId="0" fillId="4" borderId="3" xfId="0" applyFill="1" applyBorder="1"/>
    <xf numFmtId="9" fontId="0" fillId="0" borderId="0" xfId="0" applyNumberFormat="1"/>
    <xf numFmtId="0" fontId="0" fillId="0" borderId="5" xfId="0" applyBorder="1"/>
    <xf numFmtId="2" fontId="0" fillId="0" borderId="24" xfId="0" applyNumberFormat="1" applyBorder="1"/>
    <xf numFmtId="0" fontId="7" fillId="0" borderId="5" xfId="2" applyFill="1" applyBorder="1"/>
    <xf numFmtId="0" fontId="19" fillId="0" borderId="6" xfId="2" applyFont="1" applyBorder="1"/>
    <xf numFmtId="9" fontId="0" fillId="0" borderId="22" xfId="0" applyNumberFormat="1" applyBorder="1"/>
    <xf numFmtId="10" fontId="0" fillId="0" borderId="22" xfId="0" applyNumberFormat="1" applyBorder="1"/>
    <xf numFmtId="10" fontId="0" fillId="0" borderId="0" xfId="0" applyNumberFormat="1"/>
    <xf numFmtId="0" fontId="19" fillId="4" borderId="0" xfId="2" applyFont="1" applyFill="1"/>
    <xf numFmtId="0" fontId="0" fillId="4" borderId="0" xfId="0" applyFill="1" applyAlignment="1">
      <alignment horizontal="center" vertical="center"/>
    </xf>
    <xf numFmtId="0" fontId="13" fillId="4" borderId="0" xfId="0" applyFont="1" applyFill="1"/>
    <xf numFmtId="0" fontId="0" fillId="4" borderId="0" xfId="0" applyFill="1" applyAlignment="1">
      <alignment vertical="center" wrapText="1"/>
    </xf>
    <xf numFmtId="0" fontId="57" fillId="4" borderId="0" xfId="0" applyFont="1" applyFill="1"/>
    <xf numFmtId="2" fontId="0" fillId="4" borderId="0" xfId="0" applyNumberFormat="1" applyFill="1" applyAlignment="1">
      <alignment horizontal="center"/>
    </xf>
    <xf numFmtId="0" fontId="19" fillId="4" borderId="0" xfId="0" applyFont="1" applyFill="1"/>
    <xf numFmtId="2" fontId="0" fillId="4" borderId="22" xfId="0" applyNumberFormat="1" applyFill="1" applyBorder="1" applyAlignment="1">
      <alignment horizontal="center"/>
    </xf>
    <xf numFmtId="0" fontId="0" fillId="4" borderId="22" xfId="0" applyFill="1" applyBorder="1" applyAlignment="1">
      <alignment vertical="center" wrapText="1"/>
    </xf>
    <xf numFmtId="0" fontId="0" fillId="4" borderId="30" xfId="0" applyFill="1" applyBorder="1" applyAlignment="1">
      <alignment vertical="center" wrapText="1"/>
    </xf>
    <xf numFmtId="0" fontId="0" fillId="4" borderId="0" xfId="0" applyFill="1" applyAlignment="1">
      <alignment wrapText="1"/>
    </xf>
    <xf numFmtId="10" fontId="0" fillId="4" borderId="0" xfId="0" applyNumberFormat="1" applyFill="1"/>
    <xf numFmtId="0" fontId="61" fillId="4" borderId="0" xfId="0" applyFont="1" applyFill="1"/>
    <xf numFmtId="0" fontId="1" fillId="4" borderId="0" xfId="0" applyFont="1" applyFill="1"/>
    <xf numFmtId="0" fontId="1" fillId="4" borderId="0" xfId="0" applyFont="1" applyFill="1" applyAlignment="1">
      <alignment horizontal="right" vertical="center"/>
    </xf>
    <xf numFmtId="170" fontId="0" fillId="4" borderId="0" xfId="0" applyNumberFormat="1" applyFill="1"/>
    <xf numFmtId="9" fontId="0" fillId="4" borderId="0" xfId="1" applyFont="1" applyFill="1" applyBorder="1" applyAlignment="1">
      <alignment horizontal="right"/>
    </xf>
    <xf numFmtId="0" fontId="7" fillId="4" borderId="0" xfId="2" applyFill="1" applyBorder="1"/>
    <xf numFmtId="9" fontId="0" fillId="4" borderId="0" xfId="1" applyFont="1" applyFill="1" applyAlignment="1">
      <alignment horizontal="right"/>
    </xf>
    <xf numFmtId="170" fontId="0" fillId="4" borderId="0" xfId="0" applyNumberFormat="1" applyFill="1" applyAlignment="1">
      <alignment horizontal="right"/>
    </xf>
    <xf numFmtId="11" fontId="0" fillId="4" borderId="0" xfId="0" applyNumberFormat="1" applyFill="1"/>
    <xf numFmtId="167" fontId="0" fillId="4" borderId="0" xfId="1" applyNumberFormat="1" applyFont="1" applyFill="1" applyAlignment="1">
      <alignment horizontal="right"/>
    </xf>
    <xf numFmtId="0" fontId="0" fillId="4" borderId="0" xfId="2" applyFont="1" applyFill="1" applyBorder="1"/>
    <xf numFmtId="0" fontId="19" fillId="0" borderId="0" xfId="0" applyFont="1" applyAlignment="1">
      <alignment horizontal="right"/>
    </xf>
    <xf numFmtId="0" fontId="19" fillId="0" borderId="0" xfId="0" applyFont="1"/>
    <xf numFmtId="2" fontId="0" fillId="4" borderId="0" xfId="0" applyNumberFormat="1" applyFill="1" applyAlignment="1">
      <alignment horizontal="right"/>
    </xf>
    <xf numFmtId="0" fontId="44" fillId="4" borderId="0" xfId="0" applyFont="1" applyFill="1"/>
    <xf numFmtId="2" fontId="0" fillId="4" borderId="22" xfId="0" applyNumberFormat="1" applyFill="1" applyBorder="1" applyAlignment="1">
      <alignment horizontal="right"/>
    </xf>
    <xf numFmtId="0" fontId="44" fillId="4" borderId="22" xfId="0" applyFont="1" applyFill="1" applyBorder="1"/>
    <xf numFmtId="174" fontId="0" fillId="4" borderId="0" xfId="0" applyNumberFormat="1" applyFill="1" applyAlignment="1">
      <alignment horizontal="right"/>
    </xf>
    <xf numFmtId="2" fontId="13" fillId="4" borderId="0" xfId="0" applyNumberFormat="1" applyFont="1" applyFill="1" applyAlignment="1">
      <alignment horizontal="right"/>
    </xf>
    <xf numFmtId="178" fontId="13" fillId="4" borderId="0" xfId="0" applyNumberFormat="1" applyFont="1" applyFill="1" applyAlignment="1">
      <alignment horizontal="right"/>
    </xf>
    <xf numFmtId="0" fontId="7" fillId="4" borderId="0" xfId="2" applyFill="1" applyAlignment="1">
      <alignment horizontal="right"/>
    </xf>
    <xf numFmtId="164" fontId="0" fillId="4" borderId="0" xfId="0" applyNumberFormat="1" applyFill="1"/>
    <xf numFmtId="173" fontId="0" fillId="4" borderId="0" xfId="0" applyNumberFormat="1" applyFill="1"/>
    <xf numFmtId="0" fontId="7" fillId="0" borderId="24" xfId="2" applyNumberFormat="1" applyBorder="1"/>
    <xf numFmtId="0" fontId="7" fillId="0" borderId="7" xfId="2" applyNumberFormat="1" applyBorder="1"/>
    <xf numFmtId="0" fontId="0" fillId="4" borderId="37" xfId="0" applyFill="1" applyBorder="1"/>
    <xf numFmtId="165" fontId="0" fillId="4" borderId="0" xfId="0" applyNumberFormat="1" applyFill="1"/>
    <xf numFmtId="174" fontId="0" fillId="4" borderId="0" xfId="0" applyNumberFormat="1" applyFill="1"/>
    <xf numFmtId="9" fontId="19" fillId="4" borderId="0" xfId="1" applyFont="1" applyFill="1" applyBorder="1"/>
    <xf numFmtId="0" fontId="7" fillId="0" borderId="8" xfId="2" applyBorder="1"/>
    <xf numFmtId="0" fontId="7" fillId="0" borderId="9" xfId="2" applyBorder="1"/>
    <xf numFmtId="0" fontId="0" fillId="4" borderId="4" xfId="0" applyFill="1" applyBorder="1"/>
    <xf numFmtId="0" fontId="13" fillId="0" borderId="22" xfId="0" applyFont="1" applyBorder="1"/>
    <xf numFmtId="0" fontId="0" fillId="3" borderId="39" xfId="0" applyFill="1" applyBorder="1" applyAlignment="1" applyProtection="1">
      <alignment horizontal="center"/>
      <protection hidden="1"/>
    </xf>
    <xf numFmtId="0" fontId="0" fillId="4" borderId="0" xfId="0" applyFill="1" applyProtection="1">
      <protection hidden="1"/>
    </xf>
    <xf numFmtId="0" fontId="0" fillId="3" borderId="38" xfId="0" applyFill="1" applyBorder="1" applyAlignment="1" applyProtection="1">
      <alignment horizontal="center" vertical="center"/>
      <protection hidden="1"/>
    </xf>
    <xf numFmtId="0" fontId="0" fillId="3" borderId="3" xfId="0" applyFill="1" applyBorder="1" applyAlignment="1" applyProtection="1">
      <alignment horizontal="center" vertical="center"/>
      <protection hidden="1"/>
    </xf>
    <xf numFmtId="0" fontId="0" fillId="3" borderId="60" xfId="0" applyFill="1" applyBorder="1" applyAlignment="1" applyProtection="1">
      <alignment horizontal="center"/>
      <protection hidden="1"/>
    </xf>
    <xf numFmtId="0" fontId="0" fillId="3" borderId="98" xfId="0" applyFill="1" applyBorder="1" applyAlignment="1" applyProtection="1">
      <alignment horizontal="center"/>
      <protection hidden="1"/>
    </xf>
    <xf numFmtId="0" fontId="0" fillId="3" borderId="95" xfId="0" applyFill="1" applyBorder="1" applyAlignment="1" applyProtection="1">
      <alignment horizontal="center" vertical="center"/>
      <protection hidden="1"/>
    </xf>
    <xf numFmtId="0" fontId="8" fillId="16" borderId="61" xfId="0" applyFont="1" applyFill="1" applyBorder="1" applyAlignment="1" applyProtection="1">
      <alignment horizontal="center"/>
      <protection locked="0" hidden="1"/>
    </xf>
    <xf numFmtId="0" fontId="8" fillId="16" borderId="97" xfId="0" applyFont="1" applyFill="1" applyBorder="1" applyAlignment="1" applyProtection="1">
      <alignment horizontal="center"/>
      <protection locked="0" hidden="1"/>
    </xf>
    <xf numFmtId="0" fontId="8" fillId="16" borderId="42" xfId="0" applyFont="1" applyFill="1" applyBorder="1" applyAlignment="1" applyProtection="1">
      <alignment horizontal="center"/>
      <protection locked="0" hidden="1"/>
    </xf>
    <xf numFmtId="0" fontId="8" fillId="16" borderId="69" xfId="0" applyFont="1" applyFill="1" applyBorder="1" applyAlignment="1" applyProtection="1">
      <alignment horizontal="center"/>
      <protection locked="0" hidden="1"/>
    </xf>
    <xf numFmtId="0" fontId="1" fillId="4" borderId="16" xfId="0" applyFont="1" applyFill="1" applyBorder="1" applyProtection="1">
      <protection hidden="1"/>
    </xf>
    <xf numFmtId="0" fontId="0" fillId="3" borderId="7" xfId="0" applyFill="1" applyBorder="1" applyProtection="1">
      <protection hidden="1"/>
    </xf>
    <xf numFmtId="0" fontId="0" fillId="10" borderId="9" xfId="0" applyFill="1" applyBorder="1" applyAlignment="1" applyProtection="1">
      <alignment horizontal="center"/>
      <protection hidden="1"/>
    </xf>
    <xf numFmtId="0" fontId="0" fillId="10" borderId="92" xfId="0" applyFill="1" applyBorder="1" applyAlignment="1" applyProtection="1">
      <alignment horizontal="center"/>
      <protection hidden="1"/>
    </xf>
    <xf numFmtId="0" fontId="1" fillId="4" borderId="14" xfId="0" applyFont="1" applyFill="1" applyBorder="1" applyAlignment="1" applyProtection="1">
      <alignment horizontal="center"/>
      <protection hidden="1"/>
    </xf>
    <xf numFmtId="166" fontId="0" fillId="16" borderId="3" xfId="0" applyNumberFormat="1" applyFill="1" applyBorder="1" applyAlignment="1" applyProtection="1">
      <alignment horizontal="center"/>
      <protection hidden="1"/>
    </xf>
    <xf numFmtId="166" fontId="0" fillId="2" borderId="1" xfId="0" applyNumberFormat="1" applyFill="1" applyBorder="1" applyAlignment="1" applyProtection="1">
      <alignment horizontal="center"/>
      <protection hidden="1"/>
    </xf>
    <xf numFmtId="166" fontId="0" fillId="2" borderId="39" xfId="0" applyNumberFormat="1" applyFill="1" applyBorder="1" applyAlignment="1" applyProtection="1">
      <alignment horizontal="center"/>
      <protection hidden="1"/>
    </xf>
    <xf numFmtId="0" fontId="49" fillId="16" borderId="43" xfId="0" applyFont="1" applyFill="1" applyBorder="1" applyAlignment="1" applyProtection="1">
      <alignment horizontal="right" vertical="center"/>
      <protection hidden="1"/>
    </xf>
    <xf numFmtId="2" fontId="0" fillId="16" borderId="15" xfId="0" applyNumberFormat="1" applyFill="1" applyBorder="1" applyAlignment="1" applyProtection="1">
      <alignment horizontal="left"/>
      <protection hidden="1"/>
    </xf>
    <xf numFmtId="0" fontId="1" fillId="0" borderId="38" xfId="0" applyFont="1" applyBorder="1" applyAlignment="1" applyProtection="1">
      <alignment horizontal="center"/>
      <protection hidden="1"/>
    </xf>
    <xf numFmtId="0" fontId="49" fillId="16" borderId="29" xfId="0" applyFont="1" applyFill="1" applyBorder="1" applyAlignment="1" applyProtection="1">
      <alignment horizontal="right" vertical="center"/>
      <protection hidden="1"/>
    </xf>
    <xf numFmtId="2" fontId="0" fillId="16" borderId="21" xfId="0" applyNumberFormat="1" applyFill="1" applyBorder="1" applyAlignment="1" applyProtection="1">
      <alignment horizontal="left"/>
      <protection hidden="1"/>
    </xf>
    <xf numFmtId="171" fontId="0" fillId="4" borderId="0" xfId="0" applyNumberFormat="1" applyFill="1" applyProtection="1">
      <protection hidden="1"/>
    </xf>
    <xf numFmtId="0" fontId="1" fillId="0" borderId="40" xfId="0" applyFont="1" applyBorder="1" applyAlignment="1" applyProtection="1">
      <alignment horizontal="center"/>
      <protection hidden="1"/>
    </xf>
    <xf numFmtId="166" fontId="0" fillId="16" borderId="99" xfId="0" applyNumberFormat="1" applyFill="1" applyBorder="1" applyAlignment="1" applyProtection="1">
      <alignment horizontal="center"/>
      <protection hidden="1"/>
    </xf>
    <xf numFmtId="166" fontId="0" fillId="2" borderId="41" xfId="0" applyNumberFormat="1" applyFill="1" applyBorder="1" applyAlignment="1" applyProtection="1">
      <alignment horizontal="center"/>
      <protection hidden="1"/>
    </xf>
    <xf numFmtId="166" fontId="0" fillId="2" borderId="42" xfId="0" applyNumberFormat="1" applyFill="1" applyBorder="1" applyAlignment="1" applyProtection="1">
      <alignment horizontal="center"/>
      <protection hidden="1"/>
    </xf>
    <xf numFmtId="2" fontId="0" fillId="4" borderId="0" xfId="0" applyNumberFormat="1" applyFill="1" applyProtection="1">
      <protection hidden="1"/>
    </xf>
    <xf numFmtId="0" fontId="0" fillId="4" borderId="26" xfId="0" applyFill="1" applyBorder="1" applyProtection="1">
      <protection hidden="1"/>
    </xf>
    <xf numFmtId="0" fontId="0" fillId="0" borderId="12" xfId="0" applyBorder="1" applyAlignment="1" applyProtection="1">
      <alignment horizontal="center"/>
      <protection hidden="1"/>
    </xf>
    <xf numFmtId="0" fontId="0" fillId="4" borderId="13" xfId="0" applyFill="1" applyBorder="1" applyAlignment="1" applyProtection="1">
      <alignment horizontal="center"/>
      <protection hidden="1"/>
    </xf>
    <xf numFmtId="0" fontId="0" fillId="4" borderId="28" xfId="0" applyFill="1" applyBorder="1" applyProtection="1">
      <protection hidden="1"/>
    </xf>
    <xf numFmtId="0" fontId="0" fillId="4" borderId="9" xfId="0" applyFill="1" applyBorder="1" applyAlignment="1" applyProtection="1">
      <alignment horizontal="center"/>
      <protection hidden="1"/>
    </xf>
    <xf numFmtId="0" fontId="0" fillId="4" borderId="15" xfId="0" applyFill="1" applyBorder="1" applyAlignment="1" applyProtection="1">
      <alignment horizontal="center"/>
      <protection hidden="1"/>
    </xf>
    <xf numFmtId="0" fontId="0" fillId="4" borderId="38" xfId="0" applyFill="1" applyBorder="1" applyProtection="1">
      <protection hidden="1"/>
    </xf>
    <xf numFmtId="1" fontId="0" fillId="4" borderId="39" xfId="0" applyNumberFormat="1" applyFill="1" applyBorder="1" applyAlignment="1" applyProtection="1">
      <alignment horizontal="center"/>
      <protection hidden="1"/>
    </xf>
    <xf numFmtId="0" fontId="0" fillId="4" borderId="1" xfId="0" applyFill="1" applyBorder="1" applyAlignment="1" applyProtection="1">
      <alignment horizontal="center"/>
      <protection hidden="1"/>
    </xf>
    <xf numFmtId="171" fontId="0" fillId="4" borderId="1" xfId="0" applyNumberFormat="1" applyFill="1" applyBorder="1" applyAlignment="1" applyProtection="1">
      <alignment horizontal="center"/>
      <protection hidden="1"/>
    </xf>
    <xf numFmtId="0" fontId="0" fillId="4" borderId="40" xfId="0" applyFill="1" applyBorder="1" applyProtection="1">
      <protection hidden="1"/>
    </xf>
    <xf numFmtId="0" fontId="0" fillId="4" borderId="41" xfId="0" applyFill="1" applyBorder="1" applyAlignment="1" applyProtection="1">
      <alignment horizontal="center"/>
      <protection hidden="1"/>
    </xf>
    <xf numFmtId="1" fontId="0" fillId="4" borderId="42" xfId="0" applyNumberFormat="1" applyFill="1" applyBorder="1" applyAlignment="1" applyProtection="1">
      <alignment horizontal="center"/>
      <protection hidden="1"/>
    </xf>
    <xf numFmtId="0" fontId="0" fillId="3" borderId="2" xfId="0" applyFill="1" applyBorder="1" applyAlignment="1" applyProtection="1">
      <alignment horizontal="right"/>
      <protection hidden="1"/>
    </xf>
    <xf numFmtId="0" fontId="0" fillId="3" borderId="25" xfId="0" applyFill="1" applyBorder="1" applyAlignment="1" applyProtection="1">
      <alignment horizontal="left"/>
      <protection hidden="1"/>
    </xf>
    <xf numFmtId="0" fontId="0" fillId="3" borderId="3" xfId="0" applyFill="1" applyBorder="1" applyAlignment="1" applyProtection="1">
      <alignment horizontal="left"/>
      <protection hidden="1"/>
    </xf>
    <xf numFmtId="0" fontId="0" fillId="3" borderId="52" xfId="0" applyFill="1" applyBorder="1" applyAlignment="1" applyProtection="1">
      <alignment horizontal="right"/>
      <protection hidden="1"/>
    </xf>
    <xf numFmtId="0" fontId="0" fillId="3" borderId="51" xfId="0" applyFill="1" applyBorder="1" applyAlignment="1" applyProtection="1">
      <alignment horizontal="left"/>
      <protection hidden="1"/>
    </xf>
    <xf numFmtId="0" fontId="0" fillId="10" borderId="2" xfId="0" applyFill="1" applyBorder="1" applyProtection="1">
      <protection hidden="1"/>
    </xf>
    <xf numFmtId="0" fontId="0" fillId="10" borderId="25" xfId="0" applyFill="1" applyBorder="1" applyProtection="1">
      <protection hidden="1"/>
    </xf>
    <xf numFmtId="0" fontId="0" fillId="10" borderId="3" xfId="0" applyFill="1" applyBorder="1" applyProtection="1">
      <protection hidden="1"/>
    </xf>
    <xf numFmtId="0" fontId="0" fillId="3" borderId="48" xfId="0" applyFill="1" applyBorder="1" applyAlignment="1" applyProtection="1">
      <alignment horizontal="right"/>
      <protection hidden="1"/>
    </xf>
    <xf numFmtId="0" fontId="0" fillId="3" borderId="47" xfId="0" applyFill="1" applyBorder="1" applyAlignment="1" applyProtection="1">
      <alignment horizontal="left"/>
      <protection hidden="1"/>
    </xf>
    <xf numFmtId="0" fontId="0" fillId="3" borderId="2" xfId="0" applyFill="1" applyBorder="1" applyAlignment="1" applyProtection="1">
      <alignment horizontal="center"/>
      <protection hidden="1"/>
    </xf>
    <xf numFmtId="0" fontId="0" fillId="3" borderId="25" xfId="0" applyFill="1" applyBorder="1" applyProtection="1">
      <protection hidden="1"/>
    </xf>
    <xf numFmtId="0" fontId="0" fillId="3" borderId="24" xfId="0" applyFill="1" applyBorder="1" applyProtection="1">
      <protection hidden="1"/>
    </xf>
    <xf numFmtId="0" fontId="0" fillId="3" borderId="3" xfId="0" applyFill="1" applyBorder="1" applyProtection="1">
      <protection hidden="1"/>
    </xf>
    <xf numFmtId="0" fontId="0" fillId="3" borderId="23" xfId="0" applyFill="1" applyBorder="1" applyAlignment="1" applyProtection="1">
      <alignment horizontal="center"/>
      <protection hidden="1"/>
    </xf>
    <xf numFmtId="0" fontId="0" fillId="3" borderId="50" xfId="0" applyFill="1" applyBorder="1" applyAlignment="1" applyProtection="1">
      <alignment horizontal="right"/>
      <protection hidden="1"/>
    </xf>
    <xf numFmtId="0" fontId="0" fillId="3" borderId="49" xfId="0" applyFill="1" applyBorder="1" applyAlignment="1" applyProtection="1">
      <alignment horizontal="left"/>
      <protection hidden="1"/>
    </xf>
    <xf numFmtId="0" fontId="7" fillId="4" borderId="0" xfId="2" applyFill="1" applyProtection="1">
      <protection hidden="1"/>
    </xf>
    <xf numFmtId="0" fontId="47" fillId="4" borderId="0" xfId="0" applyFont="1" applyFill="1" applyProtection="1">
      <protection hidden="1"/>
    </xf>
    <xf numFmtId="0" fontId="0" fillId="16" borderId="48" xfId="0" applyFill="1" applyBorder="1" applyAlignment="1" applyProtection="1">
      <alignment horizontal="right" vertical="center"/>
      <protection hidden="1"/>
    </xf>
    <xf numFmtId="2" fontId="0" fillId="16" borderId="47" xfId="0" applyNumberFormat="1" applyFill="1" applyBorder="1" applyAlignment="1" applyProtection="1">
      <alignment horizontal="left"/>
      <protection hidden="1"/>
    </xf>
    <xf numFmtId="9" fontId="0" fillId="4" borderId="0" xfId="1" applyFont="1" applyFill="1" applyProtection="1">
      <protection hidden="1"/>
    </xf>
    <xf numFmtId="0" fontId="0" fillId="16" borderId="69" xfId="0" applyFill="1" applyBorder="1" applyAlignment="1" applyProtection="1">
      <alignment horizontal="right" vertical="center"/>
      <protection hidden="1"/>
    </xf>
    <xf numFmtId="2" fontId="0" fillId="16" borderId="49" xfId="0" applyNumberFormat="1" applyFill="1" applyBorder="1" applyAlignment="1" applyProtection="1">
      <alignment horizontal="left"/>
      <protection hidden="1"/>
    </xf>
    <xf numFmtId="1" fontId="0" fillId="3" borderId="3" xfId="0" applyNumberFormat="1" applyFill="1" applyBorder="1" applyAlignment="1" applyProtection="1">
      <alignment horizontal="left"/>
      <protection hidden="1"/>
    </xf>
    <xf numFmtId="0" fontId="0" fillId="4" borderId="0" xfId="0" applyFill="1" applyAlignment="1" applyProtection="1">
      <alignment horizontal="center"/>
      <protection hidden="1"/>
    </xf>
    <xf numFmtId="0" fontId="0" fillId="3" borderId="3" xfId="0" applyFill="1" applyBorder="1" applyAlignment="1" applyProtection="1">
      <alignment horizontal="center"/>
      <protection hidden="1"/>
    </xf>
    <xf numFmtId="0" fontId="0" fillId="2" borderId="1" xfId="0" applyFill="1" applyBorder="1" applyAlignment="1" applyProtection="1">
      <alignment horizontal="center"/>
      <protection hidden="1"/>
    </xf>
    <xf numFmtId="1" fontId="0" fillId="3" borderId="25" xfId="0" applyNumberFormat="1" applyFill="1" applyBorder="1" applyProtection="1">
      <protection hidden="1"/>
    </xf>
    <xf numFmtId="0" fontId="0" fillId="4" borderId="0" xfId="0" applyFill="1" applyAlignment="1" applyProtection="1">
      <alignment horizontal="right"/>
      <protection hidden="1"/>
    </xf>
    <xf numFmtId="0" fontId="0" fillId="3" borderId="23" xfId="0" applyFill="1" applyBorder="1" applyProtection="1">
      <protection hidden="1"/>
    </xf>
    <xf numFmtId="0" fontId="0" fillId="3" borderId="24" xfId="0" applyFill="1" applyBorder="1" applyAlignment="1" applyProtection="1">
      <alignment horizontal="left"/>
      <protection hidden="1"/>
    </xf>
    <xf numFmtId="171" fontId="0" fillId="16" borderId="47" xfId="0" applyNumberFormat="1" applyFill="1" applyBorder="1" applyAlignment="1" applyProtection="1">
      <alignment horizontal="left"/>
      <protection hidden="1"/>
    </xf>
    <xf numFmtId="0" fontId="0" fillId="3" borderId="2" xfId="0" applyFill="1" applyBorder="1" applyProtection="1">
      <protection hidden="1"/>
    </xf>
    <xf numFmtId="0" fontId="0" fillId="3" borderId="7" xfId="0" applyFill="1" applyBorder="1" applyAlignment="1" applyProtection="1">
      <alignment horizontal="left"/>
      <protection hidden="1"/>
    </xf>
    <xf numFmtId="1" fontId="0" fillId="3" borderId="24" xfId="0" applyNumberFormat="1" applyFill="1" applyBorder="1" applyAlignment="1" applyProtection="1">
      <alignment horizontal="left"/>
      <protection hidden="1"/>
    </xf>
    <xf numFmtId="9" fontId="0" fillId="4" borderId="0" xfId="0" applyNumberFormat="1" applyFill="1" applyProtection="1">
      <protection hidden="1"/>
    </xf>
    <xf numFmtId="171" fontId="0" fillId="16" borderId="49" xfId="0" applyNumberFormat="1" applyFill="1" applyBorder="1" applyAlignment="1" applyProtection="1">
      <alignment horizontal="left"/>
      <protection hidden="1"/>
    </xf>
    <xf numFmtId="0" fontId="19" fillId="4" borderId="0" xfId="0" applyFont="1" applyFill="1" applyAlignment="1" applyProtection="1">
      <alignment horizontal="right"/>
      <protection hidden="1"/>
    </xf>
    <xf numFmtId="0" fontId="19" fillId="4" borderId="0" xfId="0" applyFont="1" applyFill="1" applyAlignment="1" applyProtection="1">
      <alignment horizontal="center"/>
      <protection hidden="1"/>
    </xf>
    <xf numFmtId="0" fontId="22" fillId="4" borderId="0" xfId="0" applyFont="1" applyFill="1" applyProtection="1">
      <protection hidden="1"/>
    </xf>
    <xf numFmtId="171" fontId="0" fillId="3" borderId="3" xfId="0" applyNumberFormat="1" applyFill="1" applyBorder="1" applyAlignment="1" applyProtection="1">
      <alignment horizontal="center"/>
      <protection hidden="1"/>
    </xf>
    <xf numFmtId="0" fontId="0" fillId="0" borderId="0" xfId="0" applyProtection="1">
      <protection hidden="1"/>
    </xf>
    <xf numFmtId="0" fontId="0" fillId="3" borderId="2" xfId="0" applyFill="1" applyBorder="1" applyAlignment="1" applyProtection="1">
      <alignment horizontal="right" vertical="center"/>
      <protection hidden="1"/>
    </xf>
    <xf numFmtId="0" fontId="0" fillId="3" borderId="3" xfId="0" applyFill="1" applyBorder="1" applyAlignment="1" applyProtection="1">
      <alignment horizontal="left" vertical="center"/>
      <protection hidden="1"/>
    </xf>
    <xf numFmtId="0" fontId="0" fillId="4" borderId="25" xfId="0" applyFill="1" applyBorder="1" applyProtection="1">
      <protection hidden="1"/>
    </xf>
    <xf numFmtId="0" fontId="0" fillId="3" borderId="23" xfId="0" applyFill="1" applyBorder="1" applyAlignment="1" applyProtection="1">
      <alignment horizontal="right"/>
      <protection hidden="1"/>
    </xf>
    <xf numFmtId="0" fontId="0" fillId="3" borderId="43" xfId="0" applyFill="1" applyBorder="1" applyAlignment="1" applyProtection="1">
      <alignment horizontal="right"/>
      <protection hidden="1"/>
    </xf>
    <xf numFmtId="0" fontId="0" fillId="3" borderId="15" xfId="0" applyFill="1" applyBorder="1" applyAlignment="1" applyProtection="1">
      <alignment horizontal="left"/>
      <protection hidden="1"/>
    </xf>
    <xf numFmtId="0" fontId="0" fillId="3" borderId="69" xfId="0" applyFill="1" applyBorder="1" applyAlignment="1" applyProtection="1">
      <alignment horizontal="right"/>
      <protection hidden="1"/>
    </xf>
    <xf numFmtId="1" fontId="0" fillId="3" borderId="49" xfId="0" applyNumberFormat="1" applyFill="1" applyBorder="1" applyAlignment="1" applyProtection="1">
      <alignment horizontal="left"/>
      <protection hidden="1"/>
    </xf>
    <xf numFmtId="0" fontId="8" fillId="4" borderId="0" xfId="0" applyFont="1" applyFill="1" applyProtection="1">
      <protection locked="0" hidden="1"/>
    </xf>
    <xf numFmtId="0" fontId="22" fillId="2" borderId="38" xfId="0" applyFont="1" applyFill="1" applyBorder="1" applyAlignment="1" applyProtection="1">
      <alignment horizontal="center" vertical="center"/>
      <protection locked="0" hidden="1"/>
    </xf>
    <xf numFmtId="0" fontId="22" fillId="2" borderId="39" xfId="0" applyFont="1" applyFill="1" applyBorder="1" applyAlignment="1" applyProtection="1">
      <alignment horizontal="center" vertical="center"/>
      <protection locked="0" hidden="1"/>
    </xf>
    <xf numFmtId="0" fontId="22" fillId="2" borderId="3" xfId="0" applyFont="1" applyFill="1" applyBorder="1" applyAlignment="1" applyProtection="1">
      <alignment horizontal="center" vertical="center"/>
      <protection locked="0" hidden="1"/>
    </xf>
    <xf numFmtId="0" fontId="22" fillId="2" borderId="38" xfId="0" applyFont="1" applyFill="1" applyBorder="1" applyAlignment="1" applyProtection="1">
      <alignment horizontal="center"/>
      <protection locked="0" hidden="1"/>
    </xf>
    <xf numFmtId="0" fontId="22" fillId="2" borderId="39" xfId="0" applyFont="1" applyFill="1" applyBorder="1" applyAlignment="1" applyProtection="1">
      <alignment horizontal="center"/>
      <protection locked="0" hidden="1"/>
    </xf>
    <xf numFmtId="0" fontId="22" fillId="2" borderId="48" xfId="0" applyFont="1" applyFill="1" applyBorder="1" applyAlignment="1" applyProtection="1">
      <alignment horizontal="center"/>
      <protection locked="0" hidden="1"/>
    </xf>
    <xf numFmtId="0" fontId="22" fillId="2" borderId="48" xfId="0" applyFont="1" applyFill="1" applyBorder="1" applyAlignment="1" applyProtection="1">
      <alignment horizontal="center" vertical="center"/>
      <protection locked="0" hidden="1"/>
    </xf>
    <xf numFmtId="0" fontId="22" fillId="2" borderId="100" xfId="0" applyFont="1" applyFill="1" applyBorder="1" applyAlignment="1" applyProtection="1">
      <alignment horizontal="center"/>
      <protection locked="0" hidden="1"/>
    </xf>
    <xf numFmtId="0" fontId="22" fillId="2" borderId="95" xfId="0" applyFont="1" applyFill="1" applyBorder="1" applyAlignment="1" applyProtection="1">
      <alignment horizontal="center"/>
      <protection locked="0" hidden="1"/>
    </xf>
    <xf numFmtId="2" fontId="0" fillId="3" borderId="1" xfId="0" applyNumberFormat="1" applyFill="1" applyBorder="1" applyAlignment="1" applyProtection="1">
      <alignment horizontal="center"/>
      <protection locked="0" hidden="1"/>
    </xf>
    <xf numFmtId="2" fontId="0" fillId="2" borderId="2" xfId="0" applyNumberFormat="1" applyFill="1" applyBorder="1" applyAlignment="1" applyProtection="1">
      <alignment horizontal="center"/>
      <protection locked="0" hidden="1"/>
    </xf>
    <xf numFmtId="2" fontId="0" fillId="3" borderId="2" xfId="0" applyNumberFormat="1" applyFill="1" applyBorder="1" applyAlignment="1" applyProtection="1">
      <alignment horizontal="right"/>
      <protection locked="0" hidden="1"/>
    </xf>
    <xf numFmtId="0" fontId="0" fillId="3" borderId="3" xfId="0" applyFill="1" applyBorder="1" applyProtection="1">
      <protection locked="0" hidden="1"/>
    </xf>
    <xf numFmtId="9" fontId="0" fillId="3" borderId="1" xfId="1" applyFont="1" applyFill="1" applyBorder="1" applyAlignment="1" applyProtection="1">
      <alignment horizontal="center"/>
      <protection locked="0" hidden="1"/>
    </xf>
    <xf numFmtId="9" fontId="0" fillId="2" borderId="2" xfId="0" applyNumberFormat="1" applyFill="1" applyBorder="1" applyAlignment="1" applyProtection="1">
      <alignment horizontal="center"/>
      <protection locked="0" hidden="1"/>
    </xf>
    <xf numFmtId="9" fontId="0" fillId="3" borderId="2" xfId="1" applyFont="1" applyFill="1" applyBorder="1" applyAlignment="1" applyProtection="1">
      <alignment horizontal="right"/>
      <protection locked="0" hidden="1"/>
    </xf>
    <xf numFmtId="0" fontId="0" fillId="4" borderId="0" xfId="0" applyFill="1" applyAlignment="1" applyProtection="1">
      <alignment horizontal="center"/>
      <protection locked="0" hidden="1"/>
    </xf>
    <xf numFmtId="0" fontId="0" fillId="4" borderId="0" xfId="0" applyFill="1" applyProtection="1">
      <protection locked="0" hidden="1"/>
    </xf>
    <xf numFmtId="1" fontId="0" fillId="3" borderId="1" xfId="0" applyNumberFormat="1" applyFill="1" applyBorder="1" applyAlignment="1" applyProtection="1">
      <alignment horizontal="center"/>
      <protection locked="0" hidden="1"/>
    </xf>
    <xf numFmtId="0" fontId="0" fillId="2" borderId="2" xfId="0" applyFill="1" applyBorder="1" applyAlignment="1" applyProtection="1">
      <alignment horizontal="center"/>
      <protection locked="0" hidden="1"/>
    </xf>
    <xf numFmtId="1" fontId="0" fillId="3" borderId="4" xfId="0" applyNumberFormat="1" applyFill="1" applyBorder="1" applyProtection="1">
      <protection locked="0" hidden="1"/>
    </xf>
    <xf numFmtId="0" fontId="0" fillId="3" borderId="5" xfId="0" applyFill="1" applyBorder="1" applyProtection="1">
      <protection locked="0" hidden="1"/>
    </xf>
    <xf numFmtId="9" fontId="0" fillId="3" borderId="4" xfId="1" applyFont="1" applyFill="1" applyBorder="1" applyProtection="1">
      <protection locked="0" hidden="1"/>
    </xf>
    <xf numFmtId="1" fontId="0" fillId="3" borderId="2" xfId="0" applyNumberFormat="1" applyFill="1" applyBorder="1" applyProtection="1">
      <protection locked="0" hidden="1"/>
    </xf>
    <xf numFmtId="2" fontId="0" fillId="3" borderId="1" xfId="1" applyNumberFormat="1" applyFont="1" applyFill="1" applyBorder="1" applyAlignment="1" applyProtection="1">
      <alignment horizontal="center"/>
      <protection locked="0" hidden="1"/>
    </xf>
    <xf numFmtId="2" fontId="0" fillId="3" borderId="2" xfId="1" applyNumberFormat="1" applyFont="1" applyFill="1" applyBorder="1" applyProtection="1">
      <protection locked="0" hidden="1"/>
    </xf>
    <xf numFmtId="9" fontId="0" fillId="3" borderId="2" xfId="1" applyFont="1" applyFill="1" applyBorder="1" applyProtection="1">
      <protection locked="0" hidden="1"/>
    </xf>
    <xf numFmtId="1" fontId="0" fillId="3" borderId="1" xfId="1" applyNumberFormat="1" applyFont="1" applyFill="1" applyBorder="1" applyAlignment="1" applyProtection="1">
      <alignment horizontal="center"/>
      <protection locked="0" hidden="1"/>
    </xf>
    <xf numFmtId="9" fontId="0" fillId="2" borderId="1" xfId="0" applyNumberFormat="1" applyFill="1" applyBorder="1" applyAlignment="1" applyProtection="1">
      <alignment horizontal="center"/>
      <protection locked="0" hidden="1"/>
    </xf>
    <xf numFmtId="1" fontId="0" fillId="3" borderId="2" xfId="1" applyNumberFormat="1" applyFont="1" applyFill="1" applyBorder="1" applyProtection="1">
      <protection locked="0" hidden="1"/>
    </xf>
    <xf numFmtId="0" fontId="0" fillId="2" borderId="1" xfId="0" applyFill="1" applyBorder="1" applyAlignment="1" applyProtection="1">
      <alignment horizontal="center"/>
      <protection locked="0" hidden="1"/>
    </xf>
    <xf numFmtId="2" fontId="0" fillId="3" borderId="4" xfId="1" applyNumberFormat="1" applyFont="1" applyFill="1" applyBorder="1" applyProtection="1">
      <protection locked="0" hidden="1"/>
    </xf>
    <xf numFmtId="0" fontId="0" fillId="3" borderId="3" xfId="0" applyFill="1" applyBorder="1" applyAlignment="1" applyProtection="1">
      <alignment horizontal="left"/>
      <protection locked="0" hidden="1"/>
    </xf>
    <xf numFmtId="9" fontId="0" fillId="5" borderId="1" xfId="1" applyFont="1" applyFill="1" applyBorder="1" applyAlignment="1" applyProtection="1">
      <alignment horizontal="center"/>
      <protection locked="0" hidden="1"/>
    </xf>
    <xf numFmtId="9" fontId="0" fillId="5" borderId="2" xfId="1" applyFont="1" applyFill="1" applyBorder="1" applyProtection="1">
      <protection locked="0" hidden="1"/>
    </xf>
    <xf numFmtId="0" fontId="0" fillId="5" borderId="5" xfId="0" applyFill="1" applyBorder="1" applyProtection="1">
      <protection locked="0" hidden="1"/>
    </xf>
    <xf numFmtId="1" fontId="0" fillId="5" borderId="1" xfId="0" applyNumberFormat="1" applyFill="1" applyBorder="1" applyAlignment="1" applyProtection="1">
      <alignment horizontal="center"/>
      <protection locked="0" hidden="1"/>
    </xf>
    <xf numFmtId="1" fontId="0" fillId="5" borderId="4" xfId="0" applyNumberFormat="1" applyFill="1" applyBorder="1" applyProtection="1">
      <protection locked="0" hidden="1"/>
    </xf>
    <xf numFmtId="1" fontId="0" fillId="5" borderId="2" xfId="0" applyNumberFormat="1" applyFill="1" applyBorder="1" applyProtection="1">
      <protection locked="0" hidden="1"/>
    </xf>
    <xf numFmtId="0" fontId="0" fillId="5" borderId="3" xfId="0" applyFill="1" applyBorder="1" applyProtection="1">
      <protection locked="0" hidden="1"/>
    </xf>
    <xf numFmtId="2" fontId="0" fillId="5" borderId="25" xfId="0" applyNumberFormat="1" applyFill="1" applyBorder="1" applyProtection="1">
      <protection hidden="1"/>
    </xf>
    <xf numFmtId="0" fontId="0" fillId="5" borderId="3" xfId="0" applyFill="1" applyBorder="1" applyProtection="1">
      <protection hidden="1"/>
    </xf>
    <xf numFmtId="0" fontId="0" fillId="4" borderId="22" xfId="0" applyFill="1" applyBorder="1" applyProtection="1">
      <protection hidden="1"/>
    </xf>
    <xf numFmtId="2" fontId="0" fillId="4" borderId="22" xfId="0" applyNumberFormat="1" applyFill="1" applyBorder="1" applyProtection="1">
      <protection hidden="1"/>
    </xf>
    <xf numFmtId="2" fontId="0" fillId="13" borderId="33" xfId="0" applyNumberFormat="1" applyFill="1" applyBorder="1" applyProtection="1">
      <protection hidden="1"/>
    </xf>
    <xf numFmtId="0" fontId="0" fillId="13" borderId="34" xfId="0" applyFill="1" applyBorder="1" applyProtection="1">
      <protection hidden="1"/>
    </xf>
    <xf numFmtId="2" fontId="0" fillId="5" borderId="22" xfId="0" applyNumberFormat="1" applyFill="1" applyBorder="1" applyProtection="1">
      <protection hidden="1"/>
    </xf>
    <xf numFmtId="0" fontId="0" fillId="5" borderId="63" xfId="0" applyFill="1" applyBorder="1" applyProtection="1">
      <protection hidden="1"/>
    </xf>
    <xf numFmtId="2" fontId="0" fillId="5" borderId="70" xfId="0" applyNumberFormat="1" applyFill="1" applyBorder="1" applyProtection="1">
      <protection hidden="1"/>
    </xf>
    <xf numFmtId="0" fontId="0" fillId="5" borderId="49" xfId="0" applyFill="1" applyBorder="1" applyProtection="1">
      <protection hidden="1"/>
    </xf>
    <xf numFmtId="0" fontId="0" fillId="4" borderId="16" xfId="0" applyFill="1" applyBorder="1" applyAlignment="1" applyProtection="1">
      <alignment horizontal="center"/>
      <protection hidden="1"/>
    </xf>
    <xf numFmtId="0" fontId="0" fillId="4" borderId="5" xfId="0" applyFill="1" applyBorder="1" applyAlignment="1" applyProtection="1">
      <alignment horizontal="center"/>
      <protection hidden="1"/>
    </xf>
    <xf numFmtId="166" fontId="0" fillId="4" borderId="6" xfId="0" applyNumberFormat="1" applyFill="1" applyBorder="1" applyAlignment="1" applyProtection="1">
      <alignment horizontal="center"/>
      <protection hidden="1"/>
    </xf>
    <xf numFmtId="1" fontId="0" fillId="4" borderId="6" xfId="0" applyNumberFormat="1" applyFill="1" applyBorder="1" applyAlignment="1" applyProtection="1">
      <alignment horizontal="center"/>
      <protection hidden="1"/>
    </xf>
    <xf numFmtId="166" fontId="0" fillId="4" borderId="8" xfId="0" applyNumberFormat="1" applyFill="1" applyBorder="1" applyAlignment="1" applyProtection="1">
      <alignment horizontal="center"/>
      <protection hidden="1"/>
    </xf>
    <xf numFmtId="2" fontId="0" fillId="4" borderId="6" xfId="0" applyNumberFormat="1" applyFill="1" applyBorder="1" applyAlignment="1" applyProtection="1">
      <alignment horizontal="center"/>
      <protection hidden="1"/>
    </xf>
    <xf numFmtId="2" fontId="0" fillId="4" borderId="17" xfId="0" applyNumberFormat="1" applyFill="1" applyBorder="1" applyAlignment="1" applyProtection="1">
      <alignment horizontal="center"/>
      <protection hidden="1"/>
    </xf>
    <xf numFmtId="0" fontId="0" fillId="4" borderId="6" xfId="0" applyFill="1" applyBorder="1" applyAlignment="1" applyProtection="1">
      <alignment horizontal="center"/>
      <protection hidden="1"/>
    </xf>
    <xf numFmtId="0" fontId="0" fillId="4" borderId="18" xfId="0" applyFill="1" applyBorder="1" applyAlignment="1" applyProtection="1">
      <alignment horizontal="center"/>
      <protection hidden="1"/>
    </xf>
    <xf numFmtId="0" fontId="0" fillId="4" borderId="19" xfId="0" applyFill="1" applyBorder="1" applyAlignment="1" applyProtection="1">
      <alignment horizontal="center"/>
      <protection hidden="1"/>
    </xf>
    <xf numFmtId="166" fontId="0" fillId="4" borderId="19" xfId="0" applyNumberFormat="1" applyFill="1" applyBorder="1" applyAlignment="1" applyProtection="1">
      <alignment horizontal="center"/>
      <protection hidden="1"/>
    </xf>
    <xf numFmtId="1" fontId="0" fillId="4" borderId="19" xfId="0" applyNumberFormat="1" applyFill="1" applyBorder="1" applyAlignment="1" applyProtection="1">
      <alignment horizontal="center"/>
      <protection hidden="1"/>
    </xf>
    <xf numFmtId="166" fontId="0" fillId="4" borderId="20" xfId="0" applyNumberFormat="1" applyFill="1" applyBorder="1" applyAlignment="1" applyProtection="1">
      <alignment horizontal="center"/>
      <protection hidden="1"/>
    </xf>
    <xf numFmtId="2" fontId="0" fillId="4" borderId="19" xfId="0" applyNumberFormat="1" applyFill="1" applyBorder="1" applyAlignment="1" applyProtection="1">
      <alignment horizontal="center"/>
      <protection hidden="1"/>
    </xf>
    <xf numFmtId="2" fontId="0" fillId="4" borderId="21" xfId="0" applyNumberFormat="1" applyFill="1" applyBorder="1" applyAlignment="1" applyProtection="1">
      <alignment horizontal="center"/>
      <protection hidden="1"/>
    </xf>
    <xf numFmtId="0" fontId="0" fillId="0" borderId="1" xfId="0" applyBorder="1" applyProtection="1">
      <protection locked="0" hidden="1"/>
    </xf>
    <xf numFmtId="1" fontId="0" fillId="3" borderId="2" xfId="0" applyNumberFormat="1" applyFill="1" applyBorder="1" applyAlignment="1" applyProtection="1">
      <alignment horizontal="right"/>
      <protection locked="0" hidden="1"/>
    </xf>
    <xf numFmtId="0" fontId="13" fillId="0" borderId="1" xfId="0" applyFont="1" applyBorder="1" applyProtection="1">
      <protection locked="0" hidden="1"/>
    </xf>
    <xf numFmtId="1" fontId="0" fillId="5" borderId="2" xfId="0" applyNumberFormat="1" applyFill="1" applyBorder="1" applyAlignment="1" applyProtection="1">
      <alignment horizontal="right"/>
      <protection locked="0" hidden="1"/>
    </xf>
    <xf numFmtId="2" fontId="0" fillId="5" borderId="1" xfId="0" applyNumberFormat="1" applyFill="1" applyBorder="1" applyAlignment="1" applyProtection="1">
      <alignment horizontal="center"/>
      <protection locked="0" hidden="1"/>
    </xf>
    <xf numFmtId="2" fontId="0" fillId="5" borderId="2" xfId="0" applyNumberFormat="1" applyFill="1" applyBorder="1" applyAlignment="1" applyProtection="1">
      <alignment horizontal="right"/>
      <protection locked="0" hidden="1"/>
    </xf>
    <xf numFmtId="0" fontId="0" fillId="3" borderId="2" xfId="1" applyNumberFormat="1" applyFont="1" applyFill="1" applyBorder="1" applyAlignment="1" applyProtection="1">
      <alignment horizontal="right"/>
      <protection locked="0" hidden="1"/>
    </xf>
    <xf numFmtId="0" fontId="0" fillId="0" borderId="0" xfId="0" applyProtection="1">
      <protection locked="0" hidden="1"/>
    </xf>
    <xf numFmtId="171" fontId="0" fillId="3" borderId="1" xfId="0" applyNumberFormat="1" applyFill="1" applyBorder="1" applyAlignment="1" applyProtection="1">
      <alignment horizontal="center"/>
      <protection locked="0" hidden="1"/>
    </xf>
    <xf numFmtId="171" fontId="0" fillId="3" borderId="2" xfId="1" applyNumberFormat="1" applyFont="1" applyFill="1" applyBorder="1" applyAlignment="1" applyProtection="1">
      <alignment horizontal="right"/>
      <protection locked="0" hidden="1"/>
    </xf>
    <xf numFmtId="167" fontId="0" fillId="3" borderId="1" xfId="1" applyNumberFormat="1" applyFont="1" applyFill="1" applyBorder="1" applyAlignment="1" applyProtection="1">
      <alignment horizontal="center"/>
      <protection locked="0" hidden="1"/>
    </xf>
    <xf numFmtId="10" fontId="0" fillId="2" borderId="2" xfId="0" applyNumberFormat="1" applyFill="1" applyBorder="1" applyAlignment="1" applyProtection="1">
      <alignment horizontal="center"/>
      <protection locked="0" hidden="1"/>
    </xf>
    <xf numFmtId="167" fontId="0" fillId="3" borderId="2" xfId="1" applyNumberFormat="1" applyFont="1" applyFill="1" applyBorder="1" applyAlignment="1" applyProtection="1">
      <alignment horizontal="right"/>
      <protection locked="0" hidden="1"/>
    </xf>
    <xf numFmtId="0" fontId="0" fillId="13" borderId="3" xfId="0" applyFill="1" applyBorder="1" applyProtection="1">
      <protection locked="0" hidden="1"/>
    </xf>
    <xf numFmtId="0" fontId="0" fillId="3" borderId="25" xfId="0" applyFill="1" applyBorder="1" applyProtection="1">
      <protection locked="0" hidden="1"/>
    </xf>
    <xf numFmtId="0" fontId="0" fillId="0" borderId="10" xfId="0" applyBorder="1" applyProtection="1">
      <protection hidden="1"/>
    </xf>
    <xf numFmtId="0" fontId="0" fillId="0" borderId="62" xfId="0" applyBorder="1" applyProtection="1">
      <protection hidden="1"/>
    </xf>
    <xf numFmtId="0" fontId="0" fillId="0" borderId="12" xfId="0" applyBorder="1" applyProtection="1">
      <protection hidden="1"/>
    </xf>
    <xf numFmtId="0" fontId="0" fillId="4" borderId="52" xfId="0" applyFill="1" applyBorder="1" applyProtection="1">
      <protection hidden="1"/>
    </xf>
    <xf numFmtId="0" fontId="0" fillId="4" borderId="59" xfId="0" applyFill="1" applyBorder="1" applyProtection="1">
      <protection hidden="1"/>
    </xf>
    <xf numFmtId="0" fontId="0" fillId="3" borderId="65" xfId="0" applyFill="1" applyBorder="1" applyProtection="1">
      <protection hidden="1"/>
    </xf>
    <xf numFmtId="0" fontId="7" fillId="3" borderId="58" xfId="2" applyFill="1" applyBorder="1" applyProtection="1">
      <protection hidden="1"/>
    </xf>
    <xf numFmtId="0" fontId="0" fillId="4" borderId="48" xfId="0" applyFill="1" applyBorder="1" applyProtection="1">
      <protection hidden="1"/>
    </xf>
    <xf numFmtId="0" fontId="0" fillId="4" borderId="39" xfId="0" applyFill="1" applyBorder="1" applyProtection="1">
      <protection hidden="1"/>
    </xf>
    <xf numFmtId="0" fontId="7" fillId="3" borderId="1" xfId="2" applyFill="1" applyBorder="1" applyProtection="1">
      <protection hidden="1"/>
    </xf>
    <xf numFmtId="0" fontId="0" fillId="4" borderId="43" xfId="0" applyFill="1" applyBorder="1" applyProtection="1">
      <protection hidden="1"/>
    </xf>
    <xf numFmtId="0" fontId="0" fillId="4" borderId="92" xfId="0" applyFill="1" applyBorder="1" applyProtection="1">
      <protection hidden="1"/>
    </xf>
    <xf numFmtId="9" fontId="0" fillId="3" borderId="3" xfId="0" applyNumberFormat="1" applyFill="1" applyBorder="1" applyProtection="1">
      <protection hidden="1"/>
    </xf>
    <xf numFmtId="2" fontId="0" fillId="5" borderId="3" xfId="0" applyNumberFormat="1" applyFill="1" applyBorder="1" applyProtection="1">
      <protection hidden="1"/>
    </xf>
    <xf numFmtId="0" fontId="0" fillId="5" borderId="1" xfId="0" applyFill="1" applyBorder="1" applyProtection="1">
      <protection hidden="1"/>
    </xf>
    <xf numFmtId="9" fontId="0" fillId="5" borderId="3" xfId="1" applyFont="1" applyFill="1" applyBorder="1" applyProtection="1">
      <protection hidden="1"/>
    </xf>
    <xf numFmtId="167" fontId="0" fillId="3" borderId="3" xfId="0" applyNumberFormat="1" applyFill="1" applyBorder="1" applyProtection="1">
      <protection hidden="1"/>
    </xf>
    <xf numFmtId="2" fontId="0" fillId="5" borderId="5" xfId="0" applyNumberFormat="1" applyFill="1" applyBorder="1" applyProtection="1">
      <protection hidden="1"/>
    </xf>
    <xf numFmtId="0" fontId="0" fillId="5" borderId="31" xfId="0" applyFill="1" applyBorder="1" applyProtection="1">
      <protection hidden="1"/>
    </xf>
    <xf numFmtId="0" fontId="0" fillId="4" borderId="15" xfId="0" applyFill="1" applyBorder="1" applyProtection="1">
      <protection hidden="1"/>
    </xf>
    <xf numFmtId="0" fontId="0" fillId="4" borderId="29" xfId="0" applyFill="1" applyBorder="1" applyProtection="1">
      <protection hidden="1"/>
    </xf>
    <xf numFmtId="0" fontId="0" fillId="4" borderId="42" xfId="0" applyFill="1" applyBorder="1" applyProtection="1">
      <protection hidden="1"/>
    </xf>
    <xf numFmtId="9" fontId="0" fillId="3" borderId="19" xfId="1" applyFont="1" applyFill="1" applyBorder="1" applyProtection="1">
      <protection hidden="1"/>
    </xf>
    <xf numFmtId="0" fontId="0" fillId="3" borderId="20" xfId="0" applyFill="1" applyBorder="1" applyProtection="1">
      <protection hidden="1"/>
    </xf>
    <xf numFmtId="1" fontId="0" fillId="3" borderId="59" xfId="0" applyNumberFormat="1" applyFill="1" applyBorder="1" applyAlignment="1" applyProtection="1">
      <alignment horizontal="right"/>
      <protection hidden="1"/>
    </xf>
    <xf numFmtId="0" fontId="0" fillId="3" borderId="57" xfId="0" applyFill="1" applyBorder="1" applyProtection="1">
      <protection hidden="1"/>
    </xf>
    <xf numFmtId="1" fontId="0" fillId="3" borderId="39" xfId="0" applyNumberFormat="1" applyFill="1" applyBorder="1" applyAlignment="1" applyProtection="1">
      <alignment horizontal="right"/>
      <protection hidden="1"/>
    </xf>
    <xf numFmtId="0" fontId="0" fillId="3" borderId="38" xfId="0" applyFill="1" applyBorder="1" applyProtection="1">
      <protection hidden="1"/>
    </xf>
    <xf numFmtId="9" fontId="0" fillId="3" borderId="39" xfId="1" applyFont="1" applyFill="1" applyBorder="1" applyAlignment="1" applyProtection="1">
      <alignment horizontal="right"/>
      <protection hidden="1"/>
    </xf>
    <xf numFmtId="9" fontId="0" fillId="3" borderId="38" xfId="0" applyNumberFormat="1" applyFill="1" applyBorder="1" applyProtection="1">
      <protection hidden="1"/>
    </xf>
    <xf numFmtId="2" fontId="0" fillId="5" borderId="39" xfId="0" applyNumberFormat="1" applyFill="1" applyBorder="1" applyAlignment="1" applyProtection="1">
      <alignment horizontal="right"/>
      <protection hidden="1"/>
    </xf>
    <xf numFmtId="2" fontId="0" fillId="5" borderId="38" xfId="0" applyNumberFormat="1" applyFill="1" applyBorder="1" applyProtection="1">
      <protection hidden="1"/>
    </xf>
    <xf numFmtId="9" fontId="0" fillId="5" borderId="39" xfId="1" applyFont="1" applyFill="1" applyBorder="1" applyAlignment="1" applyProtection="1">
      <alignment horizontal="right"/>
      <protection hidden="1"/>
    </xf>
    <xf numFmtId="9" fontId="0" fillId="5" borderId="38" xfId="1" applyFont="1" applyFill="1" applyBorder="1" applyProtection="1">
      <protection hidden="1"/>
    </xf>
    <xf numFmtId="167" fontId="0" fillId="3" borderId="39" xfId="1" applyNumberFormat="1" applyFont="1" applyFill="1" applyBorder="1" applyAlignment="1" applyProtection="1">
      <alignment horizontal="right"/>
      <protection hidden="1"/>
    </xf>
    <xf numFmtId="167" fontId="0" fillId="3" borderId="38" xfId="0" applyNumberFormat="1" applyFill="1" applyBorder="1" applyProtection="1">
      <protection hidden="1"/>
    </xf>
    <xf numFmtId="2" fontId="0" fillId="5" borderId="67" xfId="0" applyNumberFormat="1" applyFill="1" applyBorder="1" applyAlignment="1" applyProtection="1">
      <alignment horizontal="right"/>
      <protection hidden="1"/>
    </xf>
    <xf numFmtId="2" fontId="0" fillId="5" borderId="66" xfId="0" applyNumberFormat="1" applyFill="1" applyBorder="1" applyProtection="1">
      <protection hidden="1"/>
    </xf>
    <xf numFmtId="1" fontId="0" fillId="4" borderId="25" xfId="0" applyNumberFormat="1" applyFill="1" applyBorder="1" applyAlignment="1" applyProtection="1">
      <alignment horizontal="right"/>
      <protection hidden="1"/>
    </xf>
    <xf numFmtId="9" fontId="0" fillId="3" borderId="55" xfId="1" applyFont="1" applyFill="1" applyBorder="1" applyAlignment="1" applyProtection="1">
      <alignment horizontal="right"/>
      <protection hidden="1"/>
    </xf>
    <xf numFmtId="9" fontId="0" fillId="3" borderId="18" xfId="1" applyFont="1" applyFill="1" applyBorder="1" applyProtection="1">
      <protection hidden="1"/>
    </xf>
    <xf numFmtId="0" fontId="0" fillId="3" borderId="62" xfId="0" applyFill="1" applyBorder="1" applyProtection="1">
      <protection hidden="1"/>
    </xf>
    <xf numFmtId="0" fontId="0" fillId="3" borderId="10" xfId="0" applyFill="1" applyBorder="1" applyProtection="1">
      <protection hidden="1"/>
    </xf>
    <xf numFmtId="0" fontId="0" fillId="3" borderId="12" xfId="0" applyFill="1" applyBorder="1" applyProtection="1">
      <protection hidden="1"/>
    </xf>
    <xf numFmtId="9" fontId="0" fillId="3" borderId="3" xfId="1" applyFont="1" applyFill="1" applyBorder="1" applyProtection="1">
      <protection hidden="1"/>
    </xf>
    <xf numFmtId="0" fontId="0" fillId="0" borderId="64" xfId="0" applyBorder="1" applyProtection="1">
      <protection hidden="1"/>
    </xf>
    <xf numFmtId="0" fontId="0" fillId="0" borderId="96" xfId="0" applyBorder="1" applyProtection="1">
      <protection hidden="1"/>
    </xf>
    <xf numFmtId="0" fontId="0" fillId="0" borderId="98" xfId="0" applyBorder="1" applyProtection="1">
      <protection hidden="1"/>
    </xf>
    <xf numFmtId="2" fontId="0" fillId="0" borderId="98" xfId="0" applyNumberFormat="1" applyBorder="1" applyProtection="1">
      <protection hidden="1"/>
    </xf>
    <xf numFmtId="9" fontId="0" fillId="3" borderId="68" xfId="1" applyFont="1" applyFill="1" applyBorder="1" applyAlignment="1" applyProtection="1">
      <alignment horizontal="right"/>
      <protection hidden="1"/>
    </xf>
    <xf numFmtId="0" fontId="0" fillId="0" borderId="61" xfId="0" applyBorder="1" applyProtection="1">
      <protection hidden="1"/>
    </xf>
    <xf numFmtId="2" fontId="0" fillId="3" borderId="1" xfId="0" applyNumberFormat="1" applyFill="1" applyBorder="1" applyAlignment="1" applyProtection="1">
      <alignment horizontal="center"/>
      <protection hidden="1"/>
    </xf>
    <xf numFmtId="9" fontId="0" fillId="3" borderId="1" xfId="1" applyFont="1" applyFill="1" applyBorder="1" applyAlignment="1" applyProtection="1">
      <alignment horizontal="center"/>
      <protection hidden="1"/>
    </xf>
    <xf numFmtId="1" fontId="0" fillId="3" borderId="1" xfId="0" applyNumberFormat="1" applyFill="1" applyBorder="1" applyAlignment="1" applyProtection="1">
      <alignment horizontal="center"/>
      <protection hidden="1"/>
    </xf>
    <xf numFmtId="2" fontId="0" fillId="3" borderId="1" xfId="1" applyNumberFormat="1" applyFont="1" applyFill="1" applyBorder="1" applyAlignment="1" applyProtection="1">
      <alignment horizontal="center"/>
      <protection hidden="1"/>
    </xf>
    <xf numFmtId="2" fontId="0" fillId="3" borderId="2" xfId="0" applyNumberFormat="1" applyFill="1" applyBorder="1" applyAlignment="1" applyProtection="1">
      <alignment horizontal="right"/>
      <protection hidden="1"/>
    </xf>
    <xf numFmtId="0" fontId="0" fillId="3" borderId="5" xfId="0" applyFill="1" applyBorder="1" applyProtection="1">
      <protection hidden="1"/>
    </xf>
    <xf numFmtId="2" fontId="0" fillId="3" borderId="4" xfId="0" applyNumberFormat="1" applyFill="1" applyBorder="1" applyAlignment="1" applyProtection="1">
      <alignment horizontal="right"/>
      <protection hidden="1"/>
    </xf>
    <xf numFmtId="9" fontId="0" fillId="3" borderId="2" xfId="1" applyFont="1" applyFill="1" applyBorder="1" applyAlignment="1" applyProtection="1">
      <alignment horizontal="right"/>
      <protection hidden="1"/>
    </xf>
    <xf numFmtId="9" fontId="0" fillId="3" borderId="4" xfId="1" applyFont="1" applyFill="1" applyBorder="1" applyProtection="1">
      <protection hidden="1"/>
    </xf>
    <xf numFmtId="1" fontId="0" fillId="3" borderId="2" xfId="0" applyNumberFormat="1" applyFill="1" applyBorder="1" applyProtection="1">
      <protection hidden="1"/>
    </xf>
    <xf numFmtId="9" fontId="0" fillId="3" borderId="2" xfId="1" applyFont="1" applyFill="1" applyBorder="1" applyProtection="1">
      <protection hidden="1"/>
    </xf>
    <xf numFmtId="2" fontId="0" fillId="3" borderId="2" xfId="1" applyNumberFormat="1" applyFont="1" applyFill="1" applyBorder="1" applyProtection="1">
      <protection hidden="1"/>
    </xf>
    <xf numFmtId="2" fontId="0" fillId="5" borderId="1" xfId="0" applyNumberFormat="1" applyFill="1" applyBorder="1" applyAlignment="1" applyProtection="1">
      <alignment horizontal="center"/>
      <protection hidden="1"/>
    </xf>
    <xf numFmtId="2" fontId="0" fillId="5" borderId="4" xfId="0" applyNumberFormat="1" applyFill="1" applyBorder="1" applyProtection="1">
      <protection hidden="1"/>
    </xf>
    <xf numFmtId="0" fontId="0" fillId="5" borderId="5" xfId="0" applyFill="1" applyBorder="1" applyProtection="1">
      <protection hidden="1"/>
    </xf>
    <xf numFmtId="2" fontId="0" fillId="5" borderId="2" xfId="0" applyNumberFormat="1" applyFill="1" applyBorder="1" applyProtection="1">
      <protection hidden="1"/>
    </xf>
    <xf numFmtId="0" fontId="0" fillId="3" borderId="38" xfId="0" applyFill="1" applyBorder="1" applyAlignment="1" applyProtection="1">
      <alignment horizontal="right"/>
      <protection hidden="1"/>
    </xf>
    <xf numFmtId="0" fontId="0" fillId="3" borderId="39" xfId="0" applyFill="1" applyBorder="1" applyAlignment="1" applyProtection="1">
      <alignment horizontal="center" vertical="center"/>
      <protection hidden="1"/>
    </xf>
    <xf numFmtId="0" fontId="0" fillId="3" borderId="40" xfId="0" applyFill="1" applyBorder="1" applyAlignment="1" applyProtection="1">
      <alignment horizontal="right"/>
      <protection hidden="1"/>
    </xf>
    <xf numFmtId="0" fontId="0" fillId="3" borderId="42" xfId="0" applyFill="1" applyBorder="1" applyAlignment="1" applyProtection="1">
      <alignment horizontal="center" vertical="center"/>
      <protection hidden="1"/>
    </xf>
    <xf numFmtId="1" fontId="0" fillId="3" borderId="42" xfId="0" applyNumberFormat="1" applyFill="1" applyBorder="1" applyAlignment="1" applyProtection="1">
      <alignment horizontal="center"/>
      <protection hidden="1"/>
    </xf>
    <xf numFmtId="0" fontId="0" fillId="0" borderId="1" xfId="0" applyBorder="1" applyProtection="1">
      <protection hidden="1"/>
    </xf>
    <xf numFmtId="0" fontId="0" fillId="0" borderId="37" xfId="0" applyBorder="1" applyProtection="1">
      <protection hidden="1"/>
    </xf>
    <xf numFmtId="1" fontId="0" fillId="3" borderId="4" xfId="0" applyNumberFormat="1" applyFill="1" applyBorder="1" applyProtection="1">
      <protection hidden="1"/>
    </xf>
    <xf numFmtId="0" fontId="0" fillId="6" borderId="14" xfId="0" applyFill="1" applyBorder="1" applyAlignment="1" applyProtection="1">
      <alignment horizontal="center" vertical="center"/>
      <protection hidden="1"/>
    </xf>
    <xf numFmtId="0" fontId="0" fillId="7" borderId="7" xfId="0" applyFill="1" applyBorder="1" applyAlignment="1" applyProtection="1">
      <alignment horizontal="center" vertical="center"/>
      <protection hidden="1"/>
    </xf>
    <xf numFmtId="0" fontId="0" fillId="20" borderId="7" xfId="0" applyFill="1" applyBorder="1" applyAlignment="1" applyProtection="1">
      <alignment horizontal="center" vertical="center"/>
      <protection hidden="1"/>
    </xf>
    <xf numFmtId="0" fontId="0" fillId="12" borderId="7" xfId="0" applyFill="1" applyBorder="1" applyAlignment="1" applyProtection="1">
      <alignment horizontal="center" vertical="center" wrapText="1"/>
      <protection hidden="1"/>
    </xf>
    <xf numFmtId="0" fontId="0" fillId="10" borderId="7" xfId="0" applyFill="1" applyBorder="1" applyAlignment="1" applyProtection="1">
      <alignment horizontal="center" vertical="center" wrapText="1"/>
      <protection hidden="1"/>
    </xf>
    <xf numFmtId="0" fontId="0" fillId="12" borderId="9" xfId="0" applyFill="1" applyBorder="1" applyAlignment="1" applyProtection="1">
      <alignment horizontal="center" vertical="center" wrapText="1"/>
      <protection hidden="1"/>
    </xf>
    <xf numFmtId="0" fontId="0" fillId="8" borderId="7" xfId="0" applyFill="1" applyBorder="1" applyAlignment="1" applyProtection="1">
      <alignment horizontal="center" vertical="center" wrapText="1"/>
      <protection hidden="1"/>
    </xf>
    <xf numFmtId="0" fontId="28" fillId="11" borderId="7" xfId="0" applyFont="1" applyFill="1" applyBorder="1" applyAlignment="1" applyProtection="1">
      <alignment horizontal="center" vertical="center" wrapText="1"/>
      <protection hidden="1"/>
    </xf>
    <xf numFmtId="0" fontId="0" fillId="11" borderId="7" xfId="0" applyFill="1" applyBorder="1" applyAlignment="1" applyProtection="1">
      <alignment horizontal="center" vertical="center" wrapText="1"/>
      <protection hidden="1"/>
    </xf>
    <xf numFmtId="0" fontId="0" fillId="13" borderId="7" xfId="0" applyFill="1" applyBorder="1" applyAlignment="1" applyProtection="1">
      <alignment horizontal="center" vertical="center" wrapText="1"/>
      <protection hidden="1"/>
    </xf>
    <xf numFmtId="0" fontId="0" fillId="14" borderId="15" xfId="0" applyFill="1" applyBorder="1" applyAlignment="1" applyProtection="1">
      <alignment horizontal="center" vertical="center" wrapText="1"/>
      <protection hidden="1"/>
    </xf>
    <xf numFmtId="0" fontId="0" fillId="0" borderId="4" xfId="0" applyBorder="1" applyProtection="1">
      <protection hidden="1"/>
    </xf>
    <xf numFmtId="0" fontId="0" fillId="0" borderId="22" xfId="0" applyBorder="1" applyProtection="1">
      <protection hidden="1"/>
    </xf>
    <xf numFmtId="1" fontId="0" fillId="0" borderId="22" xfId="0" applyNumberFormat="1" applyBorder="1" applyProtection="1">
      <protection hidden="1"/>
    </xf>
    <xf numFmtId="9" fontId="0" fillId="0" borderId="0" xfId="0" applyNumberFormat="1" applyProtection="1">
      <protection hidden="1"/>
    </xf>
    <xf numFmtId="167" fontId="0" fillId="0" borderId="0" xfId="0" applyNumberFormat="1" applyProtection="1">
      <protection hidden="1"/>
    </xf>
    <xf numFmtId="0" fontId="0" fillId="0" borderId="23" xfId="0" applyBorder="1" applyProtection="1">
      <protection hidden="1"/>
    </xf>
    <xf numFmtId="0" fontId="0" fillId="0" borderId="24" xfId="0" applyBorder="1" applyProtection="1">
      <protection hidden="1"/>
    </xf>
    <xf numFmtId="0" fontId="0" fillId="10" borderId="1" xfId="0" applyFill="1" applyBorder="1" applyProtection="1">
      <protection hidden="1"/>
    </xf>
    <xf numFmtId="2" fontId="0" fillId="0" borderId="0" xfId="0" applyNumberFormat="1" applyProtection="1">
      <protection hidden="1"/>
    </xf>
    <xf numFmtId="9" fontId="0" fillId="0" borderId="24" xfId="0" applyNumberFormat="1" applyBorder="1" applyProtection="1">
      <protection hidden="1"/>
    </xf>
    <xf numFmtId="2" fontId="0" fillId="0" borderId="22" xfId="0" applyNumberFormat="1" applyBorder="1" applyProtection="1">
      <protection hidden="1"/>
    </xf>
    <xf numFmtId="1" fontId="0" fillId="0" borderId="0" xfId="0" applyNumberFormat="1" applyProtection="1">
      <protection hidden="1"/>
    </xf>
    <xf numFmtId="2" fontId="0" fillId="0" borderId="24" xfId="0" applyNumberFormat="1" applyBorder="1" applyProtection="1">
      <protection hidden="1"/>
    </xf>
    <xf numFmtId="0" fontId="13" fillId="4" borderId="0" xfId="0" applyFont="1" applyFill="1" applyProtection="1">
      <protection hidden="1"/>
    </xf>
    <xf numFmtId="0" fontId="13" fillId="4" borderId="0" xfId="0" applyFont="1" applyFill="1" applyAlignment="1" applyProtection="1">
      <alignment horizontal="right"/>
      <protection hidden="1"/>
    </xf>
    <xf numFmtId="0" fontId="13" fillId="4" borderId="0" xfId="0" applyFont="1" applyFill="1" applyAlignment="1" applyProtection="1">
      <alignment horizontal="left"/>
      <protection hidden="1"/>
    </xf>
    <xf numFmtId="0" fontId="1" fillId="4" borderId="0" xfId="0" applyFont="1" applyFill="1" applyAlignment="1" applyProtection="1">
      <alignment horizontal="center"/>
      <protection hidden="1"/>
    </xf>
    <xf numFmtId="0" fontId="0" fillId="0" borderId="2" xfId="0" applyBorder="1" applyProtection="1">
      <protection hidden="1"/>
    </xf>
    <xf numFmtId="0" fontId="0" fillId="0" borderId="3" xfId="0" applyBorder="1" applyProtection="1">
      <protection hidden="1"/>
    </xf>
    <xf numFmtId="10" fontId="0" fillId="3" borderId="1" xfId="0" applyNumberFormat="1" applyFill="1" applyBorder="1" applyAlignment="1" applyProtection="1">
      <alignment horizontal="center"/>
      <protection hidden="1"/>
    </xf>
    <xf numFmtId="2" fontId="0" fillId="5" borderId="1" xfId="0" applyNumberFormat="1" applyFill="1" applyBorder="1" applyAlignment="1" applyProtection="1">
      <alignment horizontal="center" vertical="center"/>
      <protection hidden="1"/>
    </xf>
    <xf numFmtId="0" fontId="0" fillId="5" borderId="1" xfId="0" applyFill="1" applyBorder="1" applyAlignment="1" applyProtection="1">
      <alignment horizontal="center" vertical="center"/>
      <protection hidden="1"/>
    </xf>
    <xf numFmtId="2" fontId="19" fillId="5" borderId="1" xfId="0" applyNumberFormat="1" applyFont="1" applyFill="1" applyBorder="1" applyAlignment="1" applyProtection="1">
      <alignment horizontal="center"/>
      <protection hidden="1"/>
    </xf>
    <xf numFmtId="0" fontId="57" fillId="0" borderId="1" xfId="0" applyFont="1" applyBorder="1" applyProtection="1">
      <protection hidden="1"/>
    </xf>
    <xf numFmtId="2" fontId="19" fillId="3" borderId="1" xfId="0" applyNumberFormat="1" applyFont="1" applyFill="1" applyBorder="1" applyAlignment="1" applyProtection="1">
      <alignment horizontal="center"/>
      <protection hidden="1"/>
    </xf>
    <xf numFmtId="9" fontId="19" fillId="3" borderId="1" xfId="1" applyFont="1" applyFill="1" applyBorder="1" applyAlignment="1" applyProtection="1">
      <alignment horizontal="center"/>
      <protection hidden="1"/>
    </xf>
    <xf numFmtId="0" fontId="57" fillId="4" borderId="0" xfId="0" applyFont="1" applyFill="1" applyProtection="1">
      <protection hidden="1"/>
    </xf>
    <xf numFmtId="2" fontId="19" fillId="4" borderId="0" xfId="0" applyNumberFormat="1" applyFont="1" applyFill="1" applyAlignment="1" applyProtection="1">
      <alignment horizontal="center"/>
      <protection hidden="1"/>
    </xf>
    <xf numFmtId="0" fontId="57" fillId="4" borderId="22" xfId="0" applyFont="1" applyFill="1" applyBorder="1" applyProtection="1">
      <protection hidden="1"/>
    </xf>
    <xf numFmtId="2" fontId="19" fillId="4" borderId="22" xfId="0" applyNumberFormat="1" applyFont="1" applyFill="1" applyBorder="1" applyAlignment="1" applyProtection="1">
      <alignment horizontal="center"/>
      <protection hidden="1"/>
    </xf>
    <xf numFmtId="167" fontId="0" fillId="3" borderId="1" xfId="1" applyNumberFormat="1" applyFont="1" applyFill="1" applyBorder="1" applyAlignment="1" applyProtection="1">
      <alignment horizontal="center"/>
      <protection hidden="1"/>
    </xf>
    <xf numFmtId="0" fontId="13" fillId="0" borderId="1" xfId="0" applyFont="1" applyBorder="1" applyProtection="1">
      <protection hidden="1"/>
    </xf>
    <xf numFmtId="2" fontId="0" fillId="5" borderId="1" xfId="1" applyNumberFormat="1" applyFont="1" applyFill="1" applyBorder="1" applyAlignment="1" applyProtection="1">
      <alignment horizontal="center"/>
      <protection hidden="1"/>
    </xf>
    <xf numFmtId="167" fontId="0" fillId="5" borderId="1" xfId="1" applyNumberFormat="1" applyFont="1" applyFill="1" applyBorder="1" applyAlignment="1" applyProtection="1">
      <alignment horizontal="center"/>
      <protection hidden="1"/>
    </xf>
    <xf numFmtId="0" fontId="4" fillId="4" borderId="1" xfId="0" applyFont="1" applyFill="1" applyBorder="1" applyProtection="1">
      <protection hidden="1"/>
    </xf>
    <xf numFmtId="0" fontId="4" fillId="0" borderId="1" xfId="0" applyFont="1" applyBorder="1" applyProtection="1">
      <protection hidden="1"/>
    </xf>
    <xf numFmtId="0" fontId="19" fillId="5" borderId="3" xfId="0" applyFont="1" applyFill="1" applyBorder="1" applyProtection="1">
      <protection hidden="1"/>
    </xf>
    <xf numFmtId="0" fontId="19" fillId="3" borderId="3" xfId="0" applyFont="1" applyFill="1" applyBorder="1" applyProtection="1">
      <protection hidden="1"/>
    </xf>
    <xf numFmtId="0" fontId="0" fillId="3" borderId="0" xfId="0" applyFill="1" applyProtection="1">
      <protection hidden="1"/>
    </xf>
    <xf numFmtId="0" fontId="19" fillId="4" borderId="0" xfId="0" applyFont="1" applyFill="1" applyProtection="1">
      <protection hidden="1"/>
    </xf>
    <xf numFmtId="0" fontId="4" fillId="4" borderId="0" xfId="0" applyFont="1" applyFill="1" applyProtection="1">
      <protection hidden="1"/>
    </xf>
    <xf numFmtId="0" fontId="13" fillId="25" borderId="3" xfId="0" applyFont="1" applyFill="1" applyBorder="1" applyProtection="1">
      <protection hidden="1"/>
    </xf>
    <xf numFmtId="0" fontId="4" fillId="0" borderId="1" xfId="0" applyFont="1" applyBorder="1" applyAlignment="1" applyProtection="1">
      <alignment horizontal="left" vertical="center"/>
      <protection hidden="1"/>
    </xf>
    <xf numFmtId="0" fontId="19" fillId="4" borderId="22" xfId="0" applyFont="1" applyFill="1" applyBorder="1" applyProtection="1">
      <protection hidden="1"/>
    </xf>
    <xf numFmtId="0" fontId="4" fillId="4" borderId="22" xfId="0" applyFont="1" applyFill="1" applyBorder="1" applyProtection="1">
      <protection hidden="1"/>
    </xf>
    <xf numFmtId="0" fontId="35" fillId="0" borderId="1" xfId="0" applyFont="1" applyBorder="1" applyAlignment="1" applyProtection="1">
      <alignment horizontal="left" vertical="center"/>
      <protection hidden="1"/>
    </xf>
    <xf numFmtId="0" fontId="13" fillId="27" borderId="3" xfId="0" applyFont="1" applyFill="1" applyBorder="1" applyProtection="1">
      <protection hidden="1"/>
    </xf>
    <xf numFmtId="0" fontId="0" fillId="4" borderId="30" xfId="0" applyFill="1" applyBorder="1" applyProtection="1">
      <protection hidden="1"/>
    </xf>
    <xf numFmtId="10" fontId="0" fillId="3" borderId="2" xfId="1" applyNumberFormat="1" applyFont="1" applyFill="1" applyBorder="1" applyAlignment="1" applyProtection="1">
      <alignment horizontal="right"/>
      <protection hidden="1"/>
    </xf>
    <xf numFmtId="0" fontId="0" fillId="5" borderId="2" xfId="0" applyFill="1" applyBorder="1" applyProtection="1">
      <protection hidden="1"/>
    </xf>
    <xf numFmtId="2" fontId="19" fillId="5" borderId="2" xfId="0" applyNumberFormat="1" applyFont="1" applyFill="1" applyBorder="1" applyAlignment="1" applyProtection="1">
      <alignment horizontal="right"/>
      <protection hidden="1"/>
    </xf>
    <xf numFmtId="2" fontId="19" fillId="3" borderId="2" xfId="0" applyNumberFormat="1" applyFont="1" applyFill="1" applyBorder="1" applyAlignment="1" applyProtection="1">
      <alignment horizontal="right"/>
      <protection hidden="1"/>
    </xf>
    <xf numFmtId="9" fontId="19" fillId="3" borderId="2" xfId="1" applyFont="1" applyFill="1" applyBorder="1" applyAlignment="1" applyProtection="1">
      <alignment horizontal="right"/>
      <protection hidden="1"/>
    </xf>
    <xf numFmtId="2" fontId="19" fillId="4" borderId="0" xfId="0" applyNumberFormat="1" applyFont="1" applyFill="1" applyAlignment="1" applyProtection="1">
      <alignment horizontal="right"/>
      <protection hidden="1"/>
    </xf>
    <xf numFmtId="2" fontId="0" fillId="3" borderId="2" xfId="1" applyNumberFormat="1" applyFont="1" applyFill="1" applyBorder="1" applyAlignment="1" applyProtection="1">
      <alignment horizontal="right"/>
      <protection hidden="1"/>
    </xf>
    <xf numFmtId="2" fontId="0" fillId="5" borderId="2" xfId="1" applyNumberFormat="1" applyFont="1" applyFill="1" applyBorder="1" applyAlignment="1" applyProtection="1">
      <alignment horizontal="right"/>
      <protection hidden="1"/>
    </xf>
    <xf numFmtId="2" fontId="19" fillId="4" borderId="22" xfId="0" applyNumberFormat="1" applyFont="1" applyFill="1" applyBorder="1" applyAlignment="1" applyProtection="1">
      <alignment horizontal="right"/>
      <protection hidden="1"/>
    </xf>
    <xf numFmtId="167" fontId="0" fillId="3" borderId="2" xfId="1" applyNumberFormat="1" applyFont="1" applyFill="1" applyBorder="1" applyAlignment="1" applyProtection="1">
      <alignment horizontal="right"/>
      <protection hidden="1"/>
    </xf>
    <xf numFmtId="167" fontId="0" fillId="5" borderId="2" xfId="1" applyNumberFormat="1" applyFont="1" applyFill="1" applyBorder="1" applyAlignment="1" applyProtection="1">
      <alignment horizontal="right"/>
      <protection hidden="1"/>
    </xf>
    <xf numFmtId="2" fontId="0" fillId="5" borderId="2" xfId="0" applyNumberFormat="1" applyFill="1" applyBorder="1" applyAlignment="1" applyProtection="1">
      <alignment horizontal="right"/>
      <protection hidden="1"/>
    </xf>
    <xf numFmtId="0" fontId="0" fillId="5" borderId="2" xfId="0" applyFill="1" applyBorder="1" applyAlignment="1" applyProtection="1">
      <alignment horizontal="right" vertical="center"/>
      <protection hidden="1"/>
    </xf>
    <xf numFmtId="1" fontId="0" fillId="5" borderId="25" xfId="0" applyNumberFormat="1" applyFill="1" applyBorder="1" applyProtection="1">
      <protection hidden="1"/>
    </xf>
    <xf numFmtId="171" fontId="0" fillId="13" borderId="33" xfId="0" applyNumberFormat="1" applyFill="1" applyBorder="1" applyProtection="1">
      <protection hidden="1"/>
    </xf>
    <xf numFmtId="0" fontId="0" fillId="4" borderId="2" xfId="0" applyFill="1" applyBorder="1" applyProtection="1">
      <protection hidden="1"/>
    </xf>
    <xf numFmtId="0" fontId="0" fillId="4" borderId="3" xfId="0" applyFill="1" applyBorder="1" applyProtection="1">
      <protection hidden="1"/>
    </xf>
    <xf numFmtId="10" fontId="0" fillId="3" borderId="1" xfId="1" applyNumberFormat="1" applyFont="1" applyFill="1" applyBorder="1" applyAlignment="1" applyProtection="1">
      <alignment horizontal="center" vertical="center"/>
      <protection hidden="1"/>
    </xf>
    <xf numFmtId="167" fontId="0" fillId="5" borderId="1" xfId="0" applyNumberFormat="1" applyFill="1" applyBorder="1" applyAlignment="1" applyProtection="1">
      <alignment horizontal="center" vertical="center"/>
      <protection hidden="1"/>
    </xf>
    <xf numFmtId="1" fontId="0" fillId="5" borderId="1" xfId="0" applyNumberFormat="1" applyFill="1" applyBorder="1" applyAlignment="1" applyProtection="1">
      <alignment horizontal="center" vertical="center"/>
      <protection hidden="1"/>
    </xf>
    <xf numFmtId="2" fontId="19" fillId="3" borderId="1" xfId="0" applyNumberFormat="1" applyFont="1" applyFill="1" applyBorder="1" applyAlignment="1" applyProtection="1">
      <alignment horizontal="center" vertical="center"/>
      <protection hidden="1"/>
    </xf>
    <xf numFmtId="0" fontId="0" fillId="0" borderId="25" xfId="0" applyBorder="1" applyProtection="1">
      <protection hidden="1"/>
    </xf>
    <xf numFmtId="2" fontId="19" fillId="4" borderId="0" xfId="0" applyNumberFormat="1" applyFont="1" applyFill="1" applyAlignment="1" applyProtection="1">
      <alignment horizontal="center" vertical="center"/>
      <protection hidden="1"/>
    </xf>
    <xf numFmtId="2" fontId="0" fillId="3" borderId="1" xfId="1" applyNumberFormat="1" applyFont="1" applyFill="1" applyBorder="1" applyAlignment="1" applyProtection="1">
      <alignment horizontal="center" vertical="center"/>
      <protection hidden="1"/>
    </xf>
    <xf numFmtId="2" fontId="19" fillId="5" borderId="1" xfId="0" applyNumberFormat="1" applyFont="1" applyFill="1" applyBorder="1" applyAlignment="1" applyProtection="1">
      <alignment horizontal="center" vertical="center"/>
      <protection hidden="1"/>
    </xf>
    <xf numFmtId="9" fontId="0" fillId="5" borderId="1" xfId="1" applyFont="1" applyFill="1" applyBorder="1" applyAlignment="1" applyProtection="1">
      <alignment horizontal="center"/>
      <protection hidden="1"/>
    </xf>
    <xf numFmtId="0" fontId="4" fillId="0" borderId="2" xfId="0" applyFont="1" applyBorder="1" applyProtection="1">
      <protection hidden="1"/>
    </xf>
    <xf numFmtId="0" fontId="4" fillId="4" borderId="2" xfId="0" applyFont="1" applyFill="1" applyBorder="1" applyProtection="1">
      <protection hidden="1"/>
    </xf>
    <xf numFmtId="0" fontId="0" fillId="4" borderId="0" xfId="0" applyFill="1" applyAlignment="1" applyProtection="1">
      <alignment vertical="center" wrapText="1"/>
      <protection hidden="1"/>
    </xf>
    <xf numFmtId="1" fontId="19" fillId="5" borderId="2" xfId="0" applyNumberFormat="1" applyFont="1" applyFill="1" applyBorder="1" applyAlignment="1" applyProtection="1">
      <alignment horizontal="right"/>
      <protection hidden="1"/>
    </xf>
    <xf numFmtId="9" fontId="0" fillId="5" borderId="2" xfId="1" applyFont="1" applyFill="1" applyBorder="1" applyAlignment="1" applyProtection="1">
      <alignment horizontal="right"/>
      <protection hidden="1"/>
    </xf>
    <xf numFmtId="2" fontId="0" fillId="13" borderId="27" xfId="0" applyNumberFormat="1" applyFill="1" applyBorder="1" applyProtection="1">
      <protection hidden="1"/>
    </xf>
    <xf numFmtId="0" fontId="0" fillId="13" borderId="13" xfId="0" applyFill="1" applyBorder="1" applyProtection="1">
      <protection hidden="1"/>
    </xf>
    <xf numFmtId="0" fontId="0" fillId="5" borderId="47" xfId="0" applyFill="1" applyBorder="1" applyProtection="1">
      <protection hidden="1"/>
    </xf>
    <xf numFmtId="0" fontId="0" fillId="4" borderId="22" xfId="0" applyFill="1" applyBorder="1" applyAlignment="1" applyProtection="1">
      <alignment vertical="center" wrapText="1"/>
      <protection hidden="1"/>
    </xf>
    <xf numFmtId="167" fontId="0" fillId="3" borderId="2" xfId="1" applyNumberFormat="1" applyFont="1" applyFill="1" applyBorder="1" applyAlignment="1" applyProtection="1">
      <alignment horizontal="right" vertical="center"/>
      <protection hidden="1"/>
    </xf>
    <xf numFmtId="9" fontId="0" fillId="5" borderId="2" xfId="1" applyFont="1" applyFill="1" applyBorder="1" applyAlignment="1" applyProtection="1">
      <alignment horizontal="right" vertical="center"/>
      <protection hidden="1"/>
    </xf>
    <xf numFmtId="1" fontId="0" fillId="5" borderId="2" xfId="0" applyNumberFormat="1" applyFill="1" applyBorder="1" applyAlignment="1" applyProtection="1">
      <alignment horizontal="right" vertical="center"/>
      <protection hidden="1"/>
    </xf>
    <xf numFmtId="2" fontId="19" fillId="3" borderId="2" xfId="0" applyNumberFormat="1" applyFont="1" applyFill="1" applyBorder="1" applyAlignment="1" applyProtection="1">
      <alignment horizontal="right" vertical="center"/>
      <protection hidden="1"/>
    </xf>
    <xf numFmtId="167" fontId="0" fillId="3" borderId="1" xfId="1" applyNumberFormat="1" applyFont="1" applyFill="1" applyBorder="1" applyAlignment="1" applyProtection="1">
      <alignment horizontal="center" vertical="center"/>
      <protection hidden="1"/>
    </xf>
    <xf numFmtId="9" fontId="0" fillId="5" borderId="1" xfId="0" applyNumberFormat="1" applyFill="1" applyBorder="1" applyAlignment="1" applyProtection="1">
      <alignment horizontal="center" vertical="center"/>
      <protection hidden="1"/>
    </xf>
    <xf numFmtId="0" fontId="57" fillId="0" borderId="37" xfId="0" applyFont="1" applyBorder="1" applyProtection="1">
      <protection hidden="1"/>
    </xf>
    <xf numFmtId="2" fontId="0" fillId="0" borderId="0" xfId="0" applyNumberFormat="1" applyAlignment="1" applyProtection="1">
      <alignment horizontal="right"/>
      <protection hidden="1"/>
    </xf>
    <xf numFmtId="2" fontId="19" fillId="0" borderId="0" xfId="0" applyNumberFormat="1" applyFont="1" applyAlignment="1" applyProtection="1">
      <alignment horizontal="right" vertical="center"/>
      <protection hidden="1"/>
    </xf>
    <xf numFmtId="0" fontId="13" fillId="0" borderId="37" xfId="0" applyFont="1" applyBorder="1" applyProtection="1">
      <protection hidden="1"/>
    </xf>
    <xf numFmtId="0" fontId="13" fillId="0" borderId="0" xfId="0" applyFont="1" applyProtection="1">
      <protection hidden="1"/>
    </xf>
    <xf numFmtId="174" fontId="13" fillId="0" borderId="0" xfId="0" applyNumberFormat="1" applyFont="1" applyAlignment="1" applyProtection="1">
      <alignment horizontal="right"/>
      <protection hidden="1"/>
    </xf>
    <xf numFmtId="2" fontId="13" fillId="0" borderId="24" xfId="0" applyNumberFormat="1" applyFont="1" applyBorder="1" applyAlignment="1" applyProtection="1">
      <alignment horizontal="right"/>
      <protection hidden="1"/>
    </xf>
    <xf numFmtId="2" fontId="19" fillId="0" borderId="0" xfId="2" applyNumberFormat="1" applyFont="1" applyFill="1" applyBorder="1" applyProtection="1">
      <protection hidden="1"/>
    </xf>
    <xf numFmtId="2" fontId="7" fillId="0" borderId="0" xfId="2" applyNumberFormat="1" applyFill="1" applyBorder="1" applyProtection="1">
      <protection hidden="1"/>
    </xf>
    <xf numFmtId="2" fontId="19" fillId="0" borderId="0" xfId="2" applyNumberFormat="1" applyFont="1" applyFill="1" applyBorder="1" applyAlignment="1" applyProtection="1">
      <alignment horizontal="right" vertical="center"/>
      <protection hidden="1"/>
    </xf>
    <xf numFmtId="0" fontId="0" fillId="0" borderId="0" xfId="0" applyAlignment="1" applyProtection="1">
      <alignment horizontal="right"/>
      <protection hidden="1"/>
    </xf>
    <xf numFmtId="171" fontId="13" fillId="0" borderId="0" xfId="0" applyNumberFormat="1" applyFont="1" applyAlignment="1" applyProtection="1">
      <alignment horizontal="right"/>
      <protection hidden="1"/>
    </xf>
    <xf numFmtId="2" fontId="0" fillId="0" borderId="24" xfId="0" applyNumberFormat="1" applyBorder="1" applyAlignment="1" applyProtection="1">
      <alignment horizontal="right" vertical="center"/>
      <protection hidden="1"/>
    </xf>
    <xf numFmtId="0" fontId="0" fillId="0" borderId="24" xfId="0" applyBorder="1" applyAlignment="1" applyProtection="1">
      <alignment horizontal="right" vertical="center"/>
      <protection hidden="1"/>
    </xf>
    <xf numFmtId="0" fontId="0" fillId="3" borderId="31" xfId="0" applyFill="1" applyBorder="1" applyProtection="1">
      <protection hidden="1"/>
    </xf>
    <xf numFmtId="0" fontId="0" fillId="0" borderId="24" xfId="0" applyBorder="1" applyAlignment="1" applyProtection="1">
      <alignment horizontal="right"/>
      <protection hidden="1"/>
    </xf>
    <xf numFmtId="171" fontId="0" fillId="0" borderId="22" xfId="0" applyNumberFormat="1" applyBorder="1" applyProtection="1">
      <protection hidden="1"/>
    </xf>
    <xf numFmtId="2" fontId="19" fillId="0" borderId="0" xfId="2" applyNumberFormat="1" applyFont="1" applyBorder="1" applyProtection="1">
      <protection hidden="1"/>
    </xf>
    <xf numFmtId="171" fontId="0" fillId="0" borderId="0" xfId="0" applyNumberFormat="1" applyProtection="1">
      <protection hidden="1"/>
    </xf>
    <xf numFmtId="2" fontId="0" fillId="0" borderId="24" xfId="0" applyNumberFormat="1" applyBorder="1" applyAlignment="1" applyProtection="1">
      <alignment horizontal="right"/>
      <protection hidden="1"/>
    </xf>
    <xf numFmtId="0" fontId="0" fillId="10" borderId="31" xfId="0" applyFill="1" applyBorder="1" applyProtection="1">
      <protection hidden="1"/>
    </xf>
    <xf numFmtId="0" fontId="0" fillId="3" borderId="4" xfId="0" applyFill="1" applyBorder="1" applyProtection="1">
      <protection hidden="1"/>
    </xf>
    <xf numFmtId="0" fontId="0" fillId="3" borderId="1" xfId="0" applyFill="1" applyBorder="1" applyProtection="1">
      <protection hidden="1"/>
    </xf>
    <xf numFmtId="0" fontId="0" fillId="0" borderId="31" xfId="0" applyBorder="1" applyProtection="1">
      <protection locked="0" hidden="1"/>
    </xf>
    <xf numFmtId="0" fontId="0" fillId="0" borderId="2" xfId="0" applyBorder="1" applyProtection="1">
      <protection locked="0" hidden="1"/>
    </xf>
    <xf numFmtId="0" fontId="0" fillId="0" borderId="9" xfId="0" applyBorder="1" applyProtection="1">
      <protection locked="0" hidden="1"/>
    </xf>
    <xf numFmtId="0" fontId="0" fillId="0" borderId="8" xfId="0" applyBorder="1" applyProtection="1">
      <protection locked="0" hidden="1"/>
    </xf>
    <xf numFmtId="0" fontId="0" fillId="0" borderId="37" xfId="0" applyBorder="1" applyProtection="1">
      <protection locked="0" hidden="1"/>
    </xf>
    <xf numFmtId="174" fontId="0" fillId="5" borderId="1" xfId="0" applyNumberFormat="1" applyFill="1" applyBorder="1" applyAlignment="1" applyProtection="1">
      <alignment horizontal="center"/>
      <protection hidden="1"/>
    </xf>
    <xf numFmtId="0" fontId="4" fillId="0" borderId="3" xfId="0" applyFont="1" applyBorder="1" applyAlignment="1" applyProtection="1">
      <alignment horizontal="left" vertical="center"/>
      <protection hidden="1"/>
    </xf>
    <xf numFmtId="0" fontId="4" fillId="0" borderId="25" xfId="0" applyFont="1" applyBorder="1" applyAlignment="1" applyProtection="1">
      <alignment horizontal="left" vertical="center"/>
      <protection hidden="1"/>
    </xf>
    <xf numFmtId="0" fontId="0" fillId="3" borderId="2" xfId="1" applyNumberFormat="1" applyFont="1" applyFill="1" applyBorder="1" applyAlignment="1" applyProtection="1">
      <alignment horizontal="right"/>
      <protection hidden="1"/>
    </xf>
    <xf numFmtId="1" fontId="0" fillId="3" borderId="2" xfId="0" applyNumberFormat="1" applyFill="1" applyBorder="1" applyAlignment="1" applyProtection="1">
      <alignment horizontal="right"/>
      <protection hidden="1"/>
    </xf>
    <xf numFmtId="174" fontId="0" fillId="5" borderId="2" xfId="0" applyNumberFormat="1" applyFill="1" applyBorder="1" applyAlignment="1" applyProtection="1">
      <alignment horizontal="right"/>
      <protection hidden="1"/>
    </xf>
    <xf numFmtId="0" fontId="0" fillId="13" borderId="3" xfId="0" applyFill="1" applyBorder="1" applyProtection="1">
      <protection hidden="1"/>
    </xf>
    <xf numFmtId="1" fontId="0" fillId="2" borderId="2" xfId="0" applyNumberFormat="1" applyFill="1" applyBorder="1" applyAlignment="1" applyProtection="1">
      <alignment horizontal="center"/>
      <protection locked="0" hidden="1"/>
    </xf>
    <xf numFmtId="0" fontId="0" fillId="4" borderId="57" xfId="0" applyFill="1" applyBorder="1" applyProtection="1">
      <protection hidden="1"/>
    </xf>
    <xf numFmtId="0" fontId="0" fillId="0" borderId="38" xfId="0" applyBorder="1" applyProtection="1">
      <protection hidden="1"/>
    </xf>
    <xf numFmtId="2" fontId="0" fillId="0" borderId="39" xfId="0" applyNumberFormat="1" applyBorder="1" applyProtection="1">
      <protection hidden="1"/>
    </xf>
    <xf numFmtId="0" fontId="0" fillId="8" borderId="38" xfId="0" applyFill="1" applyBorder="1" applyProtection="1">
      <protection hidden="1"/>
    </xf>
    <xf numFmtId="2" fontId="0" fillId="16" borderId="39" xfId="0" applyNumberFormat="1" applyFill="1" applyBorder="1" applyProtection="1">
      <protection hidden="1"/>
    </xf>
    <xf numFmtId="0" fontId="0" fillId="8" borderId="40" xfId="0" applyFill="1" applyBorder="1" applyProtection="1">
      <protection hidden="1"/>
    </xf>
    <xf numFmtId="2" fontId="0" fillId="16" borderId="42" xfId="0" applyNumberFormat="1" applyFill="1" applyBorder="1" applyProtection="1">
      <protection hidden="1"/>
    </xf>
    <xf numFmtId="0" fontId="0" fillId="0" borderId="57" xfId="0" applyBorder="1" applyProtection="1">
      <protection hidden="1"/>
    </xf>
    <xf numFmtId="0" fontId="0" fillId="0" borderId="59" xfId="0" applyBorder="1" applyProtection="1">
      <protection hidden="1"/>
    </xf>
    <xf numFmtId="0" fontId="19" fillId="2" borderId="2" xfId="2" applyFont="1" applyFill="1" applyBorder="1" applyProtection="1">
      <protection locked="0" hidden="1"/>
    </xf>
    <xf numFmtId="0" fontId="19" fillId="2" borderId="58" xfId="2" applyFont="1" applyFill="1" applyBorder="1" applyProtection="1">
      <protection locked="0"/>
    </xf>
    <xf numFmtId="0" fontId="19" fillId="2" borderId="1" xfId="2" applyFont="1" applyFill="1" applyBorder="1" applyProtection="1">
      <protection locked="0"/>
    </xf>
    <xf numFmtId="0" fontId="19" fillId="2" borderId="1" xfId="0" applyFont="1" applyFill="1" applyBorder="1" applyProtection="1">
      <protection locked="0"/>
    </xf>
    <xf numFmtId="9" fontId="19" fillId="2" borderId="1" xfId="2" applyNumberFormat="1" applyFont="1" applyFill="1" applyBorder="1" applyProtection="1">
      <protection locked="0"/>
    </xf>
    <xf numFmtId="0" fontId="19" fillId="2" borderId="31" xfId="0" applyFont="1" applyFill="1" applyBorder="1" applyProtection="1">
      <protection locked="0"/>
    </xf>
    <xf numFmtId="0" fontId="19" fillId="4" borderId="25" xfId="0" applyFont="1" applyFill="1" applyBorder="1" applyProtection="1">
      <protection locked="0"/>
    </xf>
    <xf numFmtId="0" fontId="19" fillId="2" borderId="20" xfId="0" applyFont="1" applyFill="1" applyBorder="1" applyProtection="1">
      <protection locked="0"/>
    </xf>
    <xf numFmtId="0" fontId="19" fillId="2" borderId="2" xfId="2" applyFont="1" applyFill="1" applyBorder="1" applyProtection="1">
      <protection locked="0"/>
    </xf>
    <xf numFmtId="0" fontId="19" fillId="2" borderId="2" xfId="0" applyFont="1" applyFill="1" applyBorder="1" applyProtection="1">
      <protection locked="0"/>
    </xf>
    <xf numFmtId="9" fontId="19" fillId="2" borderId="2" xfId="2" applyNumberFormat="1" applyFont="1" applyFill="1" applyBorder="1" applyProtection="1">
      <protection locked="0"/>
    </xf>
    <xf numFmtId="9" fontId="19" fillId="2" borderId="68" xfId="0" applyNumberFormat="1" applyFont="1" applyFill="1" applyBorder="1" applyProtection="1">
      <protection locked="0"/>
    </xf>
    <xf numFmtId="1" fontId="0" fillId="5" borderId="2" xfId="0" applyNumberFormat="1" applyFill="1" applyBorder="1" applyAlignment="1" applyProtection="1">
      <alignment horizontal="right"/>
      <protection hidden="1"/>
    </xf>
    <xf numFmtId="0" fontId="0" fillId="5" borderId="2" xfId="1" applyNumberFormat="1" applyFont="1" applyFill="1" applyBorder="1" applyAlignment="1" applyProtection="1">
      <alignment horizontal="right"/>
      <protection hidden="1"/>
    </xf>
    <xf numFmtId="1" fontId="0" fillId="3" borderId="2" xfId="1" applyNumberFormat="1" applyFont="1" applyFill="1" applyBorder="1" applyAlignment="1" applyProtection="1">
      <alignment horizontal="right"/>
      <protection hidden="1"/>
    </xf>
    <xf numFmtId="1" fontId="0" fillId="5" borderId="1" xfId="0" applyNumberFormat="1" applyFill="1" applyBorder="1" applyAlignment="1" applyProtection="1">
      <alignment horizontal="center"/>
      <protection hidden="1"/>
    </xf>
    <xf numFmtId="170" fontId="0" fillId="2" borderId="2" xfId="0" applyNumberFormat="1" applyFill="1" applyBorder="1" applyAlignment="1" applyProtection="1">
      <alignment horizontal="center"/>
      <protection locked="0" hidden="1"/>
    </xf>
    <xf numFmtId="9" fontId="0" fillId="0" borderId="0" xfId="1" applyFont="1" applyBorder="1" applyProtection="1">
      <protection hidden="1"/>
    </xf>
    <xf numFmtId="0" fontId="0" fillId="0" borderId="6" xfId="0" applyBorder="1" applyProtection="1">
      <protection hidden="1"/>
    </xf>
    <xf numFmtId="0" fontId="7" fillId="0" borderId="0" xfId="2" applyNumberFormat="1" applyBorder="1" applyProtection="1">
      <protection hidden="1"/>
    </xf>
    <xf numFmtId="0" fontId="7" fillId="0" borderId="6" xfId="2" applyNumberFormat="1" applyBorder="1" applyProtection="1">
      <protection hidden="1"/>
    </xf>
    <xf numFmtId="0" fontId="7" fillId="0" borderId="5" xfId="2" applyNumberFormat="1" applyBorder="1" applyProtection="1">
      <protection hidden="1"/>
    </xf>
    <xf numFmtId="9" fontId="0" fillId="0" borderId="24" xfId="1" applyFont="1" applyBorder="1" applyProtection="1">
      <protection hidden="1"/>
    </xf>
    <xf numFmtId="167" fontId="0" fillId="0" borderId="0" xfId="1" applyNumberFormat="1" applyFont="1" applyBorder="1" applyProtection="1">
      <protection hidden="1"/>
    </xf>
    <xf numFmtId="0" fontId="7" fillId="0" borderId="0" xfId="2" applyBorder="1" applyProtection="1">
      <protection hidden="1"/>
    </xf>
    <xf numFmtId="0" fontId="19" fillId="0" borderId="0" xfId="2" applyNumberFormat="1" applyFont="1" applyBorder="1" applyProtection="1">
      <protection hidden="1"/>
    </xf>
    <xf numFmtId="0" fontId="0" fillId="0" borderId="0" xfId="1" applyNumberFormat="1" applyFont="1" applyBorder="1" applyProtection="1">
      <protection hidden="1"/>
    </xf>
    <xf numFmtId="0" fontId="2" fillId="0" borderId="0" xfId="0" applyFont="1" applyProtection="1">
      <protection hidden="1"/>
    </xf>
    <xf numFmtId="0" fontId="2" fillId="0" borderId="0" xfId="2" applyNumberFormat="1" applyFont="1" applyBorder="1" applyProtection="1">
      <protection hidden="1"/>
    </xf>
    <xf numFmtId="0" fontId="2" fillId="0" borderId="6" xfId="2" applyNumberFormat="1" applyFont="1" applyBorder="1" applyProtection="1">
      <protection hidden="1"/>
    </xf>
    <xf numFmtId="0" fontId="1" fillId="0" borderId="57" xfId="0" applyFont="1" applyBorder="1" applyProtection="1">
      <protection hidden="1"/>
    </xf>
    <xf numFmtId="172" fontId="0" fillId="0" borderId="59" xfId="3" applyNumberFormat="1" applyFont="1" applyBorder="1" applyAlignment="1" applyProtection="1">
      <alignment horizontal="right"/>
      <protection hidden="1"/>
    </xf>
    <xf numFmtId="172" fontId="0" fillId="16" borderId="39" xfId="3" applyNumberFormat="1" applyFont="1" applyFill="1" applyBorder="1" applyAlignment="1" applyProtection="1">
      <alignment horizontal="right"/>
      <protection hidden="1"/>
    </xf>
    <xf numFmtId="172" fontId="0" fillId="16" borderId="55" xfId="3" applyNumberFormat="1" applyFont="1" applyFill="1" applyBorder="1" applyAlignment="1" applyProtection="1">
      <alignment horizontal="right"/>
      <protection hidden="1"/>
    </xf>
    <xf numFmtId="2" fontId="0" fillId="0" borderId="38" xfId="0" applyNumberFormat="1" applyBorder="1" applyProtection="1">
      <protection hidden="1"/>
    </xf>
    <xf numFmtId="0" fontId="0" fillId="8" borderId="1" xfId="0" applyFill="1" applyBorder="1" applyProtection="1">
      <protection hidden="1"/>
    </xf>
    <xf numFmtId="0" fontId="0" fillId="8" borderId="39" xfId="0" applyFill="1" applyBorder="1" applyProtection="1">
      <protection hidden="1"/>
    </xf>
    <xf numFmtId="175" fontId="0" fillId="16" borderId="1" xfId="0" applyNumberFormat="1" applyFill="1" applyBorder="1" applyProtection="1">
      <protection hidden="1"/>
    </xf>
    <xf numFmtId="175" fontId="0" fillId="16" borderId="39" xfId="0" applyNumberFormat="1" applyFill="1" applyBorder="1" applyProtection="1">
      <protection hidden="1"/>
    </xf>
    <xf numFmtId="175" fontId="0" fillId="16" borderId="41" xfId="0" applyNumberFormat="1" applyFill="1" applyBorder="1" applyProtection="1">
      <protection hidden="1"/>
    </xf>
    <xf numFmtId="175" fontId="0" fillId="16" borderId="42" xfId="0" applyNumberFormat="1" applyFill="1" applyBorder="1" applyProtection="1">
      <protection hidden="1"/>
    </xf>
    <xf numFmtId="2" fontId="0" fillId="4" borderId="0" xfId="0" applyNumberFormat="1" applyFill="1" applyAlignment="1" applyProtection="1">
      <alignment horizontal="center"/>
      <protection hidden="1"/>
    </xf>
    <xf numFmtId="2" fontId="0" fillId="4" borderId="0" xfId="0" applyNumberFormat="1" applyFill="1" applyAlignment="1" applyProtection="1">
      <alignment horizontal="right"/>
      <protection hidden="1"/>
    </xf>
    <xf numFmtId="0" fontId="4" fillId="4" borderId="0" xfId="0" applyFont="1" applyFill="1" applyAlignment="1" applyProtection="1">
      <alignment horizontal="left" vertical="center"/>
      <protection hidden="1"/>
    </xf>
    <xf numFmtId="170" fontId="0" fillId="5" borderId="25" xfId="0" applyNumberFormat="1" applyFill="1" applyBorder="1" applyProtection="1">
      <protection hidden="1"/>
    </xf>
    <xf numFmtId="174" fontId="0" fillId="5" borderId="22" xfId="0" applyNumberFormat="1" applyFill="1" applyBorder="1" applyProtection="1">
      <protection hidden="1"/>
    </xf>
    <xf numFmtId="174" fontId="0" fillId="5" borderId="70" xfId="0" applyNumberFormat="1" applyFill="1" applyBorder="1" applyProtection="1">
      <protection hidden="1"/>
    </xf>
    <xf numFmtId="0" fontId="0" fillId="19" borderId="1" xfId="0" applyFill="1" applyBorder="1" applyAlignment="1" applyProtection="1">
      <alignment horizontal="center" vertical="center" wrapText="1"/>
      <protection hidden="1"/>
    </xf>
    <xf numFmtId="0" fontId="35" fillId="0" borderId="3" xfId="0" applyFont="1" applyBorder="1" applyAlignment="1" applyProtection="1">
      <alignment horizontal="left" vertical="center"/>
      <protection hidden="1"/>
    </xf>
    <xf numFmtId="0" fontId="13" fillId="27" borderId="7" xfId="0" applyFont="1" applyFill="1" applyBorder="1" applyProtection="1">
      <protection hidden="1"/>
    </xf>
    <xf numFmtId="170" fontId="0" fillId="5" borderId="2" xfId="0" applyNumberFormat="1" applyFill="1" applyBorder="1" applyAlignment="1" applyProtection="1">
      <alignment horizontal="right"/>
      <protection hidden="1"/>
    </xf>
    <xf numFmtId="171" fontId="0" fillId="5" borderId="2" xfId="0" applyNumberFormat="1" applyFill="1" applyBorder="1" applyAlignment="1" applyProtection="1">
      <alignment horizontal="right"/>
      <protection hidden="1"/>
    </xf>
    <xf numFmtId="0" fontId="0" fillId="4" borderId="1" xfId="0" applyFill="1" applyBorder="1" applyProtection="1">
      <protection hidden="1"/>
    </xf>
    <xf numFmtId="167" fontId="0" fillId="3" borderId="25" xfId="0" applyNumberFormat="1" applyFill="1" applyBorder="1" applyAlignment="1" applyProtection="1">
      <alignment horizontal="center"/>
      <protection hidden="1"/>
    </xf>
    <xf numFmtId="1" fontId="0" fillId="3" borderId="25" xfId="0" applyNumberFormat="1" applyFill="1" applyBorder="1" applyAlignment="1" applyProtection="1">
      <alignment horizontal="center"/>
      <protection hidden="1"/>
    </xf>
    <xf numFmtId="2" fontId="0" fillId="3" borderId="25" xfId="0" applyNumberFormat="1" applyFill="1" applyBorder="1" applyAlignment="1" applyProtection="1">
      <alignment horizontal="center"/>
      <protection hidden="1"/>
    </xf>
    <xf numFmtId="2" fontId="0" fillId="5" borderId="25" xfId="0" applyNumberFormat="1" applyFill="1" applyBorder="1" applyAlignment="1" applyProtection="1">
      <alignment horizontal="center"/>
      <protection hidden="1"/>
    </xf>
    <xf numFmtId="170" fontId="0" fillId="5" borderId="25" xfId="0" applyNumberFormat="1" applyFill="1" applyBorder="1" applyAlignment="1" applyProtection="1">
      <alignment horizontal="center"/>
      <protection hidden="1"/>
    </xf>
    <xf numFmtId="171" fontId="0" fillId="3" borderId="25" xfId="0" applyNumberFormat="1" applyFill="1" applyBorder="1" applyAlignment="1" applyProtection="1">
      <alignment horizontal="center"/>
      <protection hidden="1"/>
    </xf>
    <xf numFmtId="1" fontId="0" fillId="5" borderId="25" xfId="0" applyNumberFormat="1" applyFill="1" applyBorder="1" applyAlignment="1" applyProtection="1">
      <alignment horizontal="center"/>
      <protection hidden="1"/>
    </xf>
    <xf numFmtId="9" fontId="0" fillId="3" borderId="25" xfId="1" applyFont="1" applyFill="1" applyBorder="1" applyAlignment="1" applyProtection="1">
      <alignment horizontal="center"/>
      <protection hidden="1"/>
    </xf>
    <xf numFmtId="2" fontId="0" fillId="3" borderId="25" xfId="1" applyNumberFormat="1" applyFont="1" applyFill="1" applyBorder="1" applyAlignment="1" applyProtection="1">
      <alignment horizontal="center"/>
      <protection hidden="1"/>
    </xf>
    <xf numFmtId="170" fontId="0" fillId="3" borderId="25" xfId="1" applyNumberFormat="1" applyFont="1" applyFill="1" applyBorder="1" applyAlignment="1" applyProtection="1">
      <alignment horizontal="center"/>
      <protection hidden="1"/>
    </xf>
    <xf numFmtId="171" fontId="0" fillId="5" borderId="25" xfId="1" applyNumberFormat="1" applyFont="1" applyFill="1" applyBorder="1" applyAlignment="1" applyProtection="1">
      <alignment horizontal="center"/>
      <protection hidden="1"/>
    </xf>
    <xf numFmtId="1" fontId="0" fillId="3" borderId="25" xfId="1" applyNumberFormat="1" applyFont="1" applyFill="1" applyBorder="1" applyAlignment="1" applyProtection="1">
      <alignment horizontal="center"/>
      <protection hidden="1"/>
    </xf>
    <xf numFmtId="0" fontId="0" fillId="6" borderId="71" xfId="0" applyFill="1" applyBorder="1" applyProtection="1">
      <protection hidden="1"/>
    </xf>
    <xf numFmtId="0" fontId="0" fillId="7" borderId="72" xfId="0" applyFill="1" applyBorder="1" applyProtection="1">
      <protection hidden="1"/>
    </xf>
    <xf numFmtId="0" fontId="0" fillId="20" borderId="72" xfId="0" applyFill="1" applyBorder="1" applyAlignment="1" applyProtection="1">
      <alignment horizontal="center"/>
      <protection hidden="1"/>
    </xf>
    <xf numFmtId="0" fontId="0" fillId="12" borderId="72" xfId="0" applyFill="1" applyBorder="1" applyAlignment="1" applyProtection="1">
      <alignment horizontal="center"/>
      <protection hidden="1"/>
    </xf>
    <xf numFmtId="0" fontId="0" fillId="10" borderId="72" xfId="0" applyFill="1" applyBorder="1" applyAlignment="1" applyProtection="1">
      <alignment horizontal="center"/>
      <protection hidden="1"/>
    </xf>
    <xf numFmtId="0" fontId="0" fillId="8" borderId="72" xfId="0" applyFill="1" applyBorder="1" applyAlignment="1" applyProtection="1">
      <alignment horizontal="center"/>
      <protection hidden="1"/>
    </xf>
    <xf numFmtId="0" fontId="0" fillId="11" borderId="72" xfId="0" applyFill="1" applyBorder="1" applyAlignment="1" applyProtection="1">
      <alignment horizontal="center"/>
      <protection hidden="1"/>
    </xf>
    <xf numFmtId="0" fontId="0" fillId="13" borderId="72" xfId="0" applyFill="1" applyBorder="1" applyAlignment="1" applyProtection="1">
      <alignment horizontal="center"/>
      <protection hidden="1"/>
    </xf>
    <xf numFmtId="0" fontId="0" fillId="14" borderId="73" xfId="0" applyFill="1" applyBorder="1" applyAlignment="1" applyProtection="1">
      <alignment horizontal="center"/>
      <protection hidden="1"/>
    </xf>
    <xf numFmtId="0" fontId="0" fillId="6" borderId="74" xfId="0" applyFill="1" applyBorder="1" applyAlignment="1" applyProtection="1">
      <alignment horizontal="center"/>
      <protection hidden="1"/>
    </xf>
    <xf numFmtId="0" fontId="0" fillId="7" borderId="9" xfId="0" applyFill="1" applyBorder="1" applyAlignment="1" applyProtection="1">
      <alignment horizontal="center"/>
      <protection hidden="1"/>
    </xf>
    <xf numFmtId="0" fontId="0" fillId="20" borderId="8" xfId="0" applyFill="1" applyBorder="1" applyAlignment="1" applyProtection="1">
      <alignment horizontal="center" vertical="center" wrapText="1"/>
      <protection hidden="1"/>
    </xf>
    <xf numFmtId="0" fontId="0" fillId="12" borderId="8" xfId="0" applyFill="1" applyBorder="1" applyAlignment="1" applyProtection="1">
      <alignment horizontal="center" vertical="center" wrapText="1"/>
      <protection hidden="1"/>
    </xf>
    <xf numFmtId="0" fontId="0" fillId="10" borderId="8" xfId="0" applyFill="1" applyBorder="1" applyAlignment="1" applyProtection="1">
      <alignment horizontal="center" vertical="center" wrapText="1"/>
      <protection hidden="1"/>
    </xf>
    <xf numFmtId="0" fontId="0" fillId="8" borderId="8" xfId="0" applyFill="1" applyBorder="1" applyAlignment="1" applyProtection="1">
      <alignment horizontal="center" vertical="center" wrapText="1"/>
      <protection hidden="1"/>
    </xf>
    <xf numFmtId="0" fontId="27" fillId="11" borderId="8" xfId="0" applyFont="1" applyFill="1" applyBorder="1" applyAlignment="1" applyProtection="1">
      <alignment horizontal="center" vertical="center" wrapText="1"/>
      <protection hidden="1"/>
    </xf>
    <xf numFmtId="0" fontId="0" fillId="11" borderId="8" xfId="0" applyFill="1" applyBorder="1" applyAlignment="1" applyProtection="1">
      <alignment horizontal="center" vertical="center" wrapText="1"/>
      <protection hidden="1"/>
    </xf>
    <xf numFmtId="0" fontId="0" fillId="13" borderId="8" xfId="0" applyFill="1" applyBorder="1" applyAlignment="1" applyProtection="1">
      <alignment horizontal="center" vertical="center" wrapText="1"/>
      <protection hidden="1"/>
    </xf>
    <xf numFmtId="0" fontId="0" fillId="14" borderId="75" xfId="0" applyFill="1" applyBorder="1" applyAlignment="1" applyProtection="1">
      <alignment horizontal="center" vertical="center" wrapText="1"/>
      <protection hidden="1"/>
    </xf>
    <xf numFmtId="0" fontId="0" fillId="4" borderId="76" xfId="0" applyFill="1" applyBorder="1" applyAlignment="1" applyProtection="1">
      <alignment horizontal="center" vertical="center"/>
      <protection hidden="1"/>
    </xf>
    <xf numFmtId="0" fontId="0" fillId="4" borderId="31" xfId="0" applyFill="1" applyBorder="1" applyAlignment="1" applyProtection="1">
      <alignment horizontal="center" vertical="center"/>
      <protection hidden="1"/>
    </xf>
    <xf numFmtId="2" fontId="0" fillId="4" borderId="31" xfId="0" applyNumberFormat="1" applyFill="1" applyBorder="1" applyAlignment="1" applyProtection="1">
      <alignment horizontal="center" vertical="center"/>
      <protection hidden="1"/>
    </xf>
    <xf numFmtId="2" fontId="0" fillId="4" borderId="4" xfId="0" applyNumberFormat="1" applyFill="1" applyBorder="1" applyAlignment="1" applyProtection="1">
      <alignment horizontal="center" vertical="center"/>
      <protection hidden="1"/>
    </xf>
    <xf numFmtId="1" fontId="0" fillId="4" borderId="4" xfId="0" applyNumberFormat="1" applyFill="1" applyBorder="1" applyAlignment="1" applyProtection="1">
      <alignment horizontal="center" vertical="center"/>
      <protection hidden="1"/>
    </xf>
    <xf numFmtId="2" fontId="0" fillId="4" borderId="77" xfId="0" applyNumberFormat="1" applyFill="1" applyBorder="1" applyAlignment="1" applyProtection="1">
      <alignment horizontal="center" vertical="center"/>
      <protection hidden="1"/>
    </xf>
    <xf numFmtId="0" fontId="0" fillId="4" borderId="78" xfId="0" applyFill="1" applyBorder="1" applyAlignment="1" applyProtection="1">
      <alignment horizontal="center" vertical="center"/>
      <protection hidden="1"/>
    </xf>
    <xf numFmtId="0" fontId="0" fillId="4" borderId="8" xfId="0" applyFill="1" applyBorder="1" applyAlignment="1" applyProtection="1">
      <alignment horizontal="center" vertical="center"/>
      <protection hidden="1"/>
    </xf>
    <xf numFmtId="2" fontId="0" fillId="4" borderId="8" xfId="0" applyNumberFormat="1" applyFill="1" applyBorder="1" applyAlignment="1" applyProtection="1">
      <alignment horizontal="center" vertical="center"/>
      <protection hidden="1"/>
    </xf>
    <xf numFmtId="2" fontId="0" fillId="4" borderId="37" xfId="0" applyNumberFormat="1" applyFill="1" applyBorder="1" applyAlignment="1" applyProtection="1">
      <alignment horizontal="center" vertical="center"/>
      <protection hidden="1"/>
    </xf>
    <xf numFmtId="1" fontId="0" fillId="4" borderId="37" xfId="0" applyNumberFormat="1" applyFill="1" applyBorder="1" applyAlignment="1" applyProtection="1">
      <alignment horizontal="center" vertical="center"/>
      <protection hidden="1"/>
    </xf>
    <xf numFmtId="2" fontId="0" fillId="4" borderId="75" xfId="0" applyNumberFormat="1" applyFill="1" applyBorder="1" applyAlignment="1" applyProtection="1">
      <alignment horizontal="center" vertical="center"/>
      <protection hidden="1"/>
    </xf>
    <xf numFmtId="0" fontId="0" fillId="4" borderId="79" xfId="0" applyFill="1" applyBorder="1" applyAlignment="1" applyProtection="1">
      <alignment horizontal="center" vertical="center"/>
      <protection hidden="1"/>
    </xf>
    <xf numFmtId="0" fontId="0" fillId="4" borderId="80" xfId="0" applyFill="1" applyBorder="1" applyAlignment="1" applyProtection="1">
      <alignment horizontal="center" vertical="center"/>
      <protection hidden="1"/>
    </xf>
    <xf numFmtId="2" fontId="0" fillId="4" borderId="80" xfId="0" applyNumberFormat="1" applyFill="1" applyBorder="1" applyAlignment="1" applyProtection="1">
      <alignment horizontal="center" vertical="center"/>
      <protection hidden="1"/>
    </xf>
    <xf numFmtId="2" fontId="0" fillId="4" borderId="81" xfId="0" applyNumberFormat="1" applyFill="1" applyBorder="1" applyAlignment="1" applyProtection="1">
      <alignment horizontal="center" vertical="center"/>
      <protection hidden="1"/>
    </xf>
    <xf numFmtId="1" fontId="0" fillId="4" borderId="81" xfId="0" applyNumberFormat="1" applyFill="1" applyBorder="1" applyAlignment="1" applyProtection="1">
      <alignment horizontal="center" vertical="center"/>
      <protection hidden="1"/>
    </xf>
    <xf numFmtId="2" fontId="0" fillId="4" borderId="82" xfId="0" applyNumberFormat="1" applyFill="1" applyBorder="1" applyAlignment="1" applyProtection="1">
      <alignment horizontal="center" vertical="center"/>
      <protection hidden="1"/>
    </xf>
    <xf numFmtId="0" fontId="1" fillId="0" borderId="58" xfId="0" applyFont="1" applyBorder="1" applyAlignment="1" applyProtection="1">
      <alignment horizontal="center"/>
      <protection hidden="1"/>
    </xf>
    <xf numFmtId="0" fontId="1" fillId="0" borderId="59" xfId="0" applyFont="1" applyBorder="1" applyAlignment="1" applyProtection="1">
      <alignment horizontal="center"/>
      <protection hidden="1"/>
    </xf>
    <xf numFmtId="0" fontId="0" fillId="4" borderId="31" xfId="0" applyFill="1" applyBorder="1" applyAlignment="1" applyProtection="1">
      <alignment horizontal="center"/>
      <protection hidden="1"/>
    </xf>
    <xf numFmtId="0" fontId="0" fillId="4" borderId="67" xfId="0" applyFill="1" applyBorder="1" applyAlignment="1" applyProtection="1">
      <alignment horizontal="center"/>
      <protection hidden="1"/>
    </xf>
    <xf numFmtId="2" fontId="47" fillId="4" borderId="92" xfId="0" applyNumberFormat="1" applyFont="1" applyFill="1" applyBorder="1" applyAlignment="1" applyProtection="1">
      <alignment horizontal="center"/>
      <protection hidden="1"/>
    </xf>
    <xf numFmtId="1" fontId="0" fillId="16" borderId="1" xfId="0" applyNumberFormat="1" applyFill="1" applyBorder="1" applyProtection="1">
      <protection hidden="1"/>
    </xf>
    <xf numFmtId="1" fontId="0" fillId="16" borderId="41" xfId="0" applyNumberFormat="1" applyFill="1" applyBorder="1" applyProtection="1">
      <protection hidden="1"/>
    </xf>
    <xf numFmtId="0" fontId="0" fillId="16" borderId="42" xfId="0" applyFill="1" applyBorder="1" applyProtection="1">
      <protection hidden="1"/>
    </xf>
    <xf numFmtId="0" fontId="4" fillId="0" borderId="3" xfId="0" applyFont="1" applyBorder="1" applyProtection="1">
      <protection hidden="1"/>
    </xf>
    <xf numFmtId="9" fontId="0" fillId="3" borderId="1" xfId="1" applyFont="1" applyFill="1" applyBorder="1" applyAlignment="1" applyProtection="1">
      <alignment horizontal="center" vertical="center"/>
      <protection hidden="1"/>
    </xf>
    <xf numFmtId="167" fontId="0" fillId="3" borderId="25" xfId="0" applyNumberFormat="1" applyFill="1" applyBorder="1" applyAlignment="1" applyProtection="1">
      <alignment horizontal="center" vertical="center"/>
      <protection hidden="1"/>
    </xf>
    <xf numFmtId="9" fontId="0" fillId="3" borderId="2" xfId="1" applyFont="1" applyFill="1" applyBorder="1" applyAlignment="1" applyProtection="1">
      <alignment horizontal="center" vertical="center"/>
      <protection hidden="1"/>
    </xf>
    <xf numFmtId="2" fontId="19" fillId="5" borderId="1" xfId="0" applyNumberFormat="1" applyFont="1" applyFill="1" applyBorder="1" applyAlignment="1" applyProtection="1">
      <alignment horizontal="right"/>
      <protection hidden="1"/>
    </xf>
    <xf numFmtId="0" fontId="19" fillId="5" borderId="1" xfId="0" applyFont="1" applyFill="1" applyBorder="1" applyProtection="1">
      <protection hidden="1"/>
    </xf>
    <xf numFmtId="2" fontId="0" fillId="3" borderId="1" xfId="0" applyNumberFormat="1" applyFill="1" applyBorder="1" applyAlignment="1" applyProtection="1">
      <alignment horizontal="right"/>
      <protection hidden="1"/>
    </xf>
    <xf numFmtId="9" fontId="0" fillId="3" borderId="1" xfId="1" applyFont="1" applyFill="1" applyBorder="1" applyAlignment="1" applyProtection="1">
      <alignment horizontal="right"/>
      <protection hidden="1"/>
    </xf>
    <xf numFmtId="0" fontId="13" fillId="25" borderId="1" xfId="0" applyFont="1" applyFill="1" applyBorder="1" applyProtection="1">
      <protection hidden="1"/>
    </xf>
    <xf numFmtId="1" fontId="0" fillId="3" borderId="1" xfId="0" applyNumberFormat="1" applyFill="1" applyBorder="1" applyAlignment="1" applyProtection="1">
      <alignment horizontal="right"/>
      <protection hidden="1"/>
    </xf>
    <xf numFmtId="2" fontId="0" fillId="5" borderId="1" xfId="0" applyNumberFormat="1" applyFill="1" applyBorder="1" applyAlignment="1" applyProtection="1">
      <alignment horizontal="right"/>
      <protection hidden="1"/>
    </xf>
    <xf numFmtId="171" fontId="0" fillId="5" borderId="22" xfId="0" applyNumberFormat="1" applyFill="1" applyBorder="1" applyProtection="1">
      <protection hidden="1"/>
    </xf>
    <xf numFmtId="171" fontId="0" fillId="5" borderId="70" xfId="0" applyNumberFormat="1" applyFill="1" applyBorder="1" applyProtection="1">
      <protection hidden="1"/>
    </xf>
    <xf numFmtId="9" fontId="0" fillId="2" borderId="2" xfId="1" applyFont="1" applyFill="1" applyBorder="1" applyAlignment="1" applyProtection="1">
      <alignment horizontal="center" vertical="center"/>
      <protection locked="0" hidden="1"/>
    </xf>
    <xf numFmtId="2" fontId="0" fillId="2" borderId="2" xfId="0" applyNumberFormat="1" applyFill="1" applyBorder="1" applyAlignment="1" applyProtection="1">
      <alignment horizontal="center" vertical="center"/>
      <protection locked="0" hidden="1"/>
    </xf>
    <xf numFmtId="2" fontId="0" fillId="2" borderId="1" xfId="0" applyNumberFormat="1" applyFill="1" applyBorder="1" applyAlignment="1" applyProtection="1">
      <alignment horizontal="center"/>
      <protection locked="0" hidden="1"/>
    </xf>
    <xf numFmtId="9" fontId="0" fillId="2" borderId="1" xfId="1" applyFont="1" applyFill="1" applyBorder="1" applyAlignment="1" applyProtection="1">
      <alignment horizontal="center"/>
      <protection locked="0" hidden="1"/>
    </xf>
    <xf numFmtId="2" fontId="13" fillId="26" borderId="1" xfId="0" applyNumberFormat="1" applyFont="1" applyFill="1" applyBorder="1" applyAlignment="1" applyProtection="1">
      <alignment horizontal="center"/>
      <protection locked="0" hidden="1"/>
    </xf>
    <xf numFmtId="1" fontId="0" fillId="4" borderId="31" xfId="0" applyNumberFormat="1" applyFill="1" applyBorder="1" applyAlignment="1" applyProtection="1">
      <alignment horizontal="center" vertical="center"/>
      <protection hidden="1"/>
    </xf>
    <xf numFmtId="1" fontId="0" fillId="4" borderId="77" xfId="0" applyNumberFormat="1" applyFill="1" applyBorder="1" applyAlignment="1" applyProtection="1">
      <alignment horizontal="center" vertical="center"/>
      <protection hidden="1"/>
    </xf>
    <xf numFmtId="1" fontId="0" fillId="4" borderId="8" xfId="0" applyNumberFormat="1" applyFill="1" applyBorder="1" applyAlignment="1" applyProtection="1">
      <alignment horizontal="center" vertical="center"/>
      <protection hidden="1"/>
    </xf>
    <xf numFmtId="1" fontId="0" fillId="4" borderId="75" xfId="0" applyNumberFormat="1" applyFill="1" applyBorder="1" applyAlignment="1" applyProtection="1">
      <alignment horizontal="center" vertical="center"/>
      <protection hidden="1"/>
    </xf>
    <xf numFmtId="1" fontId="0" fillId="4" borderId="80" xfId="0" applyNumberFormat="1" applyFill="1" applyBorder="1" applyAlignment="1" applyProtection="1">
      <alignment horizontal="center" vertical="center"/>
      <protection hidden="1"/>
    </xf>
    <xf numFmtId="1" fontId="0" fillId="4" borderId="82" xfId="0" applyNumberFormat="1" applyFill="1" applyBorder="1" applyAlignment="1" applyProtection="1">
      <alignment horizontal="center" vertical="center"/>
      <protection hidden="1"/>
    </xf>
    <xf numFmtId="0" fontId="0" fillId="0" borderId="58" xfId="0" applyBorder="1" applyAlignment="1" applyProtection="1">
      <alignment horizontal="center"/>
      <protection hidden="1"/>
    </xf>
    <xf numFmtId="0" fontId="0" fillId="0" borderId="59" xfId="0" applyBorder="1" applyAlignment="1" applyProtection="1">
      <alignment horizontal="center"/>
      <protection hidden="1"/>
    </xf>
    <xf numFmtId="1" fontId="0" fillId="16" borderId="39" xfId="0" applyNumberFormat="1" applyFill="1" applyBorder="1" applyProtection="1">
      <protection hidden="1"/>
    </xf>
    <xf numFmtId="0" fontId="0" fillId="16" borderId="1" xfId="0" applyFill="1" applyBorder="1" applyProtection="1">
      <protection hidden="1"/>
    </xf>
    <xf numFmtId="0" fontId="0" fillId="16" borderId="41" xfId="0" applyFill="1" applyBorder="1" applyProtection="1">
      <protection hidden="1"/>
    </xf>
    <xf numFmtId="2" fontId="0" fillId="16" borderId="1" xfId="0" applyNumberFormat="1" applyFill="1" applyBorder="1" applyProtection="1">
      <protection hidden="1"/>
    </xf>
    <xf numFmtId="2" fontId="0" fillId="16" borderId="41" xfId="0" applyNumberFormat="1" applyFill="1" applyBorder="1" applyProtection="1">
      <protection hidden="1"/>
    </xf>
    <xf numFmtId="2" fontId="19" fillId="5" borderId="25" xfId="0" applyNumberFormat="1" applyFont="1" applyFill="1" applyBorder="1" applyAlignment="1" applyProtection="1">
      <alignment horizontal="center"/>
      <protection hidden="1"/>
    </xf>
    <xf numFmtId="2" fontId="0" fillId="5" borderId="25" xfId="1" applyNumberFormat="1" applyFont="1" applyFill="1" applyBorder="1" applyAlignment="1" applyProtection="1">
      <alignment horizontal="center"/>
      <protection hidden="1"/>
    </xf>
    <xf numFmtId="172" fontId="0" fillId="16" borderId="42" xfId="3" applyNumberFormat="1" applyFont="1" applyFill="1" applyBorder="1" applyAlignment="1" applyProtection="1">
      <alignment horizontal="right"/>
      <protection hidden="1"/>
    </xf>
    <xf numFmtId="9" fontId="0" fillId="3" borderId="25" xfId="0" applyNumberFormat="1" applyFill="1" applyBorder="1" applyAlignment="1" applyProtection="1">
      <alignment horizontal="center"/>
      <protection hidden="1"/>
    </xf>
    <xf numFmtId="0" fontId="40" fillId="0" borderId="1" xfId="0" applyFont="1" applyBorder="1" applyProtection="1">
      <protection hidden="1"/>
    </xf>
    <xf numFmtId="9" fontId="0" fillId="2" borderId="2" xfId="1" applyFont="1" applyFill="1" applyBorder="1" applyAlignment="1" applyProtection="1">
      <alignment horizontal="center"/>
      <protection locked="0" hidden="1"/>
    </xf>
    <xf numFmtId="2" fontId="13" fillId="26" borderId="2" xfId="0" applyNumberFormat="1" applyFont="1" applyFill="1" applyBorder="1" applyAlignment="1" applyProtection="1">
      <alignment horizontal="center"/>
      <protection locked="0" hidden="1"/>
    </xf>
    <xf numFmtId="0" fontId="0" fillId="0" borderId="22" xfId="0" applyBorder="1" applyAlignment="1" applyProtection="1">
      <alignment horizontal="right"/>
      <protection hidden="1"/>
    </xf>
    <xf numFmtId="0" fontId="7" fillId="0" borderId="22" xfId="2" applyBorder="1" applyProtection="1">
      <protection hidden="1"/>
    </xf>
    <xf numFmtId="0" fontId="7" fillId="0" borderId="5" xfId="2" applyBorder="1" applyProtection="1">
      <protection hidden="1"/>
    </xf>
    <xf numFmtId="0" fontId="7" fillId="0" borderId="6" xfId="2" applyBorder="1" applyProtection="1">
      <protection hidden="1"/>
    </xf>
    <xf numFmtId="1" fontId="0" fillId="0" borderId="0" xfId="0" applyNumberFormat="1" applyAlignment="1" applyProtection="1">
      <alignment horizontal="right"/>
      <protection hidden="1"/>
    </xf>
    <xf numFmtId="0" fontId="44" fillId="0" borderId="0" xfId="0" applyFont="1" applyProtection="1">
      <protection hidden="1"/>
    </xf>
    <xf numFmtId="0" fontId="7" fillId="0" borderId="0" xfId="2" applyFill="1" applyBorder="1" applyProtection="1">
      <protection hidden="1"/>
    </xf>
    <xf numFmtId="0" fontId="7" fillId="0" borderId="0" xfId="2" applyProtection="1">
      <protection hidden="1"/>
    </xf>
    <xf numFmtId="0" fontId="7" fillId="0" borderId="0" xfId="2" applyFill="1" applyBorder="1" applyAlignment="1" applyProtection="1">
      <alignment horizontal="left" vertical="center"/>
      <protection hidden="1"/>
    </xf>
    <xf numFmtId="2" fontId="13" fillId="0" borderId="0" xfId="0" applyNumberFormat="1" applyFont="1" applyAlignment="1" applyProtection="1">
      <alignment horizontal="right"/>
      <protection hidden="1"/>
    </xf>
    <xf numFmtId="0" fontId="7" fillId="0" borderId="6" xfId="2" applyFill="1" applyBorder="1" applyProtection="1">
      <protection hidden="1"/>
    </xf>
    <xf numFmtId="10" fontId="0" fillId="0" borderId="0" xfId="1" applyNumberFormat="1" applyFont="1" applyFill="1" applyBorder="1" applyAlignment="1" applyProtection="1">
      <alignment horizontal="right"/>
      <protection hidden="1"/>
    </xf>
    <xf numFmtId="9" fontId="0" fillId="0" borderId="0" xfId="1" applyFont="1" applyFill="1" applyBorder="1" applyAlignment="1" applyProtection="1">
      <alignment horizontal="right"/>
      <protection hidden="1"/>
    </xf>
    <xf numFmtId="170" fontId="0" fillId="0" borderId="0" xfId="0" applyNumberFormat="1" applyAlignment="1" applyProtection="1">
      <alignment horizontal="right"/>
      <protection hidden="1"/>
    </xf>
    <xf numFmtId="0" fontId="7" fillId="0" borderId="24" xfId="2" applyBorder="1" applyProtection="1">
      <protection hidden="1"/>
    </xf>
    <xf numFmtId="0" fontId="0" fillId="0" borderId="7" xfId="0" applyBorder="1" applyProtection="1">
      <protection hidden="1"/>
    </xf>
    <xf numFmtId="0" fontId="45" fillId="0" borderId="6" xfId="2" applyFont="1" applyBorder="1" applyProtection="1">
      <protection hidden="1"/>
    </xf>
    <xf numFmtId="171" fontId="0" fillId="0" borderId="0" xfId="0" applyNumberFormat="1" applyAlignment="1" applyProtection="1">
      <alignment horizontal="right"/>
      <protection hidden="1"/>
    </xf>
    <xf numFmtId="0" fontId="7" fillId="0" borderId="7" xfId="2" applyBorder="1" applyProtection="1">
      <protection hidden="1"/>
    </xf>
    <xf numFmtId="0" fontId="7" fillId="0" borderId="7" xfId="2" applyFill="1" applyBorder="1" applyProtection="1">
      <protection hidden="1"/>
    </xf>
    <xf numFmtId="0" fontId="0" fillId="0" borderId="5" xfId="0" applyBorder="1" applyProtection="1">
      <protection hidden="1"/>
    </xf>
    <xf numFmtId="0" fontId="0" fillId="0" borderId="68" xfId="0" applyBorder="1" applyProtection="1">
      <protection hidden="1"/>
    </xf>
    <xf numFmtId="0" fontId="0" fillId="0" borderId="30" xfId="0" applyBorder="1" applyProtection="1">
      <protection hidden="1"/>
    </xf>
    <xf numFmtId="0" fontId="0" fillId="0" borderId="19" xfId="0" applyBorder="1" applyProtection="1">
      <protection hidden="1"/>
    </xf>
    <xf numFmtId="0" fontId="1" fillId="0" borderId="68" xfId="0" applyFont="1" applyBorder="1" applyProtection="1">
      <protection hidden="1"/>
    </xf>
    <xf numFmtId="0" fontId="1" fillId="0" borderId="30" xfId="0" applyFont="1" applyBorder="1" applyProtection="1">
      <protection hidden="1"/>
    </xf>
    <xf numFmtId="0" fontId="1" fillId="0" borderId="19" xfId="0" applyFont="1" applyBorder="1" applyProtection="1">
      <protection hidden="1"/>
    </xf>
    <xf numFmtId="1" fontId="0" fillId="4" borderId="0" xfId="0" applyNumberFormat="1" applyFill="1" applyProtection="1">
      <protection hidden="1"/>
    </xf>
    <xf numFmtId="1" fontId="0" fillId="0" borderId="24" xfId="0" applyNumberFormat="1" applyBorder="1" applyProtection="1">
      <protection hidden="1"/>
    </xf>
    <xf numFmtId="0" fontId="0" fillId="0" borderId="0" xfId="0" applyAlignment="1" applyProtection="1">
      <alignment horizontal="center"/>
      <protection hidden="1"/>
    </xf>
    <xf numFmtId="0" fontId="0" fillId="22" borderId="7" xfId="0" applyFill="1" applyBorder="1" applyProtection="1">
      <protection hidden="1"/>
    </xf>
    <xf numFmtId="0" fontId="0" fillId="10" borderId="9" xfId="0" applyFill="1" applyBorder="1" applyProtection="1">
      <protection hidden="1"/>
    </xf>
    <xf numFmtId="0" fontId="0" fillId="23" borderId="3" xfId="0" applyFill="1" applyBorder="1" applyProtection="1">
      <protection hidden="1"/>
    </xf>
    <xf numFmtId="166" fontId="0" fillId="3" borderId="1" xfId="0" applyNumberFormat="1" applyFill="1" applyBorder="1" applyProtection="1">
      <protection hidden="1"/>
    </xf>
    <xf numFmtId="0" fontId="0" fillId="23" borderId="5" xfId="0" applyFill="1" applyBorder="1" applyProtection="1">
      <protection hidden="1"/>
    </xf>
    <xf numFmtId="166" fontId="0" fillId="2" borderId="1" xfId="0" applyNumberFormat="1" applyFill="1" applyBorder="1" applyProtection="1">
      <protection locked="0" hidden="1"/>
    </xf>
    <xf numFmtId="166" fontId="0" fillId="2" borderId="31" xfId="0" applyNumberFormat="1" applyFill="1" applyBorder="1" applyProtection="1">
      <protection locked="0" hidden="1"/>
    </xf>
    <xf numFmtId="166" fontId="0" fillId="2" borderId="2" xfId="0" applyNumberFormat="1" applyFill="1" applyBorder="1" applyProtection="1">
      <protection locked="0" hidden="1"/>
    </xf>
    <xf numFmtId="166" fontId="0" fillId="2" borderId="4" xfId="0" applyNumberFormat="1" applyFill="1" applyBorder="1" applyProtection="1">
      <protection locked="0" hidden="1"/>
    </xf>
    <xf numFmtId="0" fontId="0" fillId="4" borderId="17" xfId="0" applyFill="1" applyBorder="1" applyProtection="1">
      <protection hidden="1"/>
    </xf>
    <xf numFmtId="0" fontId="0" fillId="4" borderId="28" xfId="0" applyFill="1" applyBorder="1" applyAlignment="1" applyProtection="1">
      <alignment horizontal="center"/>
      <protection hidden="1"/>
    </xf>
    <xf numFmtId="0" fontId="0" fillId="4" borderId="17" xfId="0" applyFill="1" applyBorder="1" applyAlignment="1" applyProtection="1">
      <alignment horizontal="center"/>
      <protection hidden="1"/>
    </xf>
    <xf numFmtId="0" fontId="1" fillId="0" borderId="4" xfId="0" applyFont="1" applyBorder="1" applyProtection="1">
      <protection hidden="1"/>
    </xf>
    <xf numFmtId="2" fontId="0" fillId="0" borderId="5" xfId="0" applyNumberFormat="1" applyBorder="1" applyProtection="1">
      <protection hidden="1"/>
    </xf>
    <xf numFmtId="2" fontId="0" fillId="0" borderId="6" xfId="0" applyNumberFormat="1" applyBorder="1" applyProtection="1">
      <protection hidden="1"/>
    </xf>
    <xf numFmtId="2" fontId="0" fillId="0" borderId="7" xfId="0" applyNumberFormat="1" applyBorder="1" applyProtection="1">
      <protection hidden="1"/>
    </xf>
    <xf numFmtId="0" fontId="12" fillId="0" borderId="4" xfId="0" applyFont="1" applyBorder="1" applyProtection="1">
      <protection hidden="1"/>
    </xf>
    <xf numFmtId="0" fontId="13" fillId="0" borderId="22" xfId="0" applyFont="1" applyBorder="1" applyProtection="1">
      <protection hidden="1"/>
    </xf>
    <xf numFmtId="0" fontId="13" fillId="0" borderId="5" xfId="0" applyFont="1" applyBorder="1" applyProtection="1">
      <protection hidden="1"/>
    </xf>
    <xf numFmtId="0" fontId="13" fillId="0" borderId="6" xfId="0" applyFont="1" applyBorder="1" applyProtection="1">
      <protection hidden="1"/>
    </xf>
    <xf numFmtId="0" fontId="0" fillId="0" borderId="4" xfId="0" applyBorder="1" applyAlignment="1" applyProtection="1">
      <alignment horizontal="right"/>
      <protection hidden="1"/>
    </xf>
    <xf numFmtId="2" fontId="13" fillId="0" borderId="0" xfId="0" applyNumberFormat="1" applyFont="1" applyProtection="1">
      <protection hidden="1"/>
    </xf>
    <xf numFmtId="168" fontId="0" fillId="0" borderId="37" xfId="0" applyNumberFormat="1" applyBorder="1" applyProtection="1">
      <protection hidden="1"/>
    </xf>
    <xf numFmtId="169" fontId="0" fillId="0" borderId="0" xfId="0" applyNumberFormat="1" applyProtection="1">
      <protection hidden="1"/>
    </xf>
    <xf numFmtId="176" fontId="0" fillId="0" borderId="24" xfId="0" applyNumberFormat="1" applyBorder="1" applyProtection="1">
      <protection hidden="1"/>
    </xf>
    <xf numFmtId="0" fontId="13" fillId="0" borderId="24" xfId="0" applyFont="1" applyBorder="1" applyProtection="1">
      <protection hidden="1"/>
    </xf>
    <xf numFmtId="2" fontId="13" fillId="0" borderId="24" xfId="0" applyNumberFormat="1" applyFont="1" applyBorder="1" applyProtection="1">
      <protection hidden="1"/>
    </xf>
    <xf numFmtId="0" fontId="13" fillId="0" borderId="7" xfId="0" applyFont="1" applyBorder="1" applyProtection="1">
      <protection hidden="1"/>
    </xf>
    <xf numFmtId="0" fontId="13" fillId="18" borderId="27" xfId="0" applyFont="1" applyFill="1" applyBorder="1" applyProtection="1">
      <protection hidden="1"/>
    </xf>
    <xf numFmtId="0" fontId="13" fillId="18" borderId="13" xfId="0" applyFont="1" applyFill="1" applyBorder="1" applyProtection="1">
      <protection hidden="1"/>
    </xf>
    <xf numFmtId="0" fontId="0" fillId="2" borderId="13" xfId="0" applyFill="1" applyBorder="1" applyProtection="1">
      <protection hidden="1"/>
    </xf>
    <xf numFmtId="2" fontId="13" fillId="17" borderId="30" xfId="0" applyNumberFormat="1" applyFont="1" applyFill="1" applyBorder="1" applyProtection="1">
      <protection hidden="1"/>
    </xf>
    <xf numFmtId="0" fontId="13" fillId="17" borderId="21" xfId="0" applyFont="1" applyFill="1" applyBorder="1" applyProtection="1">
      <protection hidden="1"/>
    </xf>
    <xf numFmtId="170" fontId="0" fillId="0" borderId="0" xfId="0" applyNumberFormat="1" applyProtection="1">
      <protection hidden="1"/>
    </xf>
    <xf numFmtId="10" fontId="0" fillId="0" borderId="0" xfId="0" applyNumberFormat="1" applyProtection="1">
      <protection hidden="1"/>
    </xf>
    <xf numFmtId="0" fontId="1" fillId="0" borderId="0" xfId="0" applyFont="1" applyProtection="1">
      <protection hidden="1"/>
    </xf>
    <xf numFmtId="0" fontId="23" fillId="21" borderId="0" xfId="0" applyFont="1" applyFill="1" applyProtection="1">
      <protection hidden="1"/>
    </xf>
    <xf numFmtId="0" fontId="0" fillId="0" borderId="56" xfId="0" applyBorder="1" applyProtection="1">
      <protection hidden="1"/>
    </xf>
    <xf numFmtId="0" fontId="0" fillId="13" borderId="1" xfId="0" applyFill="1" applyBorder="1" applyAlignment="1" applyProtection="1">
      <alignment horizontal="center"/>
      <protection hidden="1"/>
    </xf>
    <xf numFmtId="0" fontId="0" fillId="13" borderId="1" xfId="0" applyFill="1" applyBorder="1" applyProtection="1">
      <protection hidden="1"/>
    </xf>
    <xf numFmtId="0" fontId="0" fillId="5" borderId="1" xfId="0" applyFill="1" applyBorder="1" applyAlignment="1" applyProtection="1">
      <alignment horizontal="center"/>
      <protection hidden="1"/>
    </xf>
    <xf numFmtId="0" fontId="0" fillId="0" borderId="26" xfId="0" applyBorder="1" applyProtection="1">
      <protection hidden="1"/>
    </xf>
    <xf numFmtId="0" fontId="0" fillId="0" borderId="27" xfId="0" applyBorder="1" applyProtection="1">
      <protection hidden="1"/>
    </xf>
    <xf numFmtId="0" fontId="0" fillId="0" borderId="13" xfId="0" applyBorder="1" applyProtection="1">
      <protection hidden="1"/>
    </xf>
    <xf numFmtId="0" fontId="0" fillId="0" borderId="28" xfId="0" applyBorder="1" applyProtection="1">
      <protection hidden="1"/>
    </xf>
    <xf numFmtId="0" fontId="0" fillId="0" borderId="17" xfId="0" applyBorder="1" applyProtection="1">
      <protection hidden="1"/>
    </xf>
    <xf numFmtId="0" fontId="0" fillId="0" borderId="29" xfId="0" applyBorder="1" applyProtection="1">
      <protection hidden="1"/>
    </xf>
    <xf numFmtId="0" fontId="0" fillId="0" borderId="21" xfId="0" applyBorder="1" applyProtection="1">
      <protection hidden="1"/>
    </xf>
    <xf numFmtId="0" fontId="0" fillId="0" borderId="14" xfId="0" applyBorder="1" applyProtection="1">
      <protection hidden="1"/>
    </xf>
    <xf numFmtId="166" fontId="0" fillId="0" borderId="9" xfId="0" applyNumberFormat="1" applyBorder="1" applyProtection="1">
      <protection hidden="1"/>
    </xf>
    <xf numFmtId="166" fontId="0" fillId="0" borderId="39" xfId="0" applyNumberFormat="1" applyBorder="1" applyProtection="1">
      <protection hidden="1"/>
    </xf>
    <xf numFmtId="166" fontId="0" fillId="0" borderId="1" xfId="0" applyNumberFormat="1" applyBorder="1" applyProtection="1">
      <protection hidden="1"/>
    </xf>
    <xf numFmtId="0" fontId="0" fillId="5" borderId="38" xfId="0" applyFill="1" applyBorder="1" applyProtection="1">
      <protection hidden="1"/>
    </xf>
    <xf numFmtId="166" fontId="0" fillId="5" borderId="1" xfId="0" applyNumberFormat="1" applyFill="1" applyBorder="1" applyProtection="1">
      <protection hidden="1"/>
    </xf>
    <xf numFmtId="166" fontId="0" fillId="13" borderId="1" xfId="0" applyNumberFormat="1" applyFill="1" applyBorder="1" applyProtection="1">
      <protection hidden="1"/>
    </xf>
    <xf numFmtId="166" fontId="0" fillId="13" borderId="39" xfId="0" applyNumberFormat="1" applyFill="1" applyBorder="1" applyProtection="1">
      <protection hidden="1"/>
    </xf>
    <xf numFmtId="0" fontId="0" fillId="5" borderId="40" xfId="0" applyFill="1" applyBorder="1" applyProtection="1">
      <protection hidden="1"/>
    </xf>
    <xf numFmtId="166" fontId="0" fillId="5" borderId="41" xfId="0" applyNumberFormat="1" applyFill="1" applyBorder="1" applyProtection="1">
      <protection hidden="1"/>
    </xf>
    <xf numFmtId="166" fontId="0" fillId="13" borderId="41" xfId="0" applyNumberFormat="1" applyFill="1" applyBorder="1" applyProtection="1">
      <protection hidden="1"/>
    </xf>
    <xf numFmtId="166" fontId="0" fillId="13" borderId="42" xfId="0" applyNumberFormat="1" applyFill="1" applyBorder="1" applyProtection="1">
      <protection hidden="1"/>
    </xf>
    <xf numFmtId="0" fontId="22" fillId="4" borderId="26" xfId="0" applyFont="1" applyFill="1" applyBorder="1" applyAlignment="1">
      <alignment horizontal="center" wrapText="1"/>
    </xf>
    <xf numFmtId="0" fontId="22" fillId="4" borderId="27" xfId="0" applyFont="1" applyFill="1" applyBorder="1" applyAlignment="1">
      <alignment horizontal="center" wrapText="1"/>
    </xf>
    <xf numFmtId="0" fontId="22" fillId="4" borderId="13" xfId="0" applyFont="1" applyFill="1" applyBorder="1" applyAlignment="1">
      <alignment horizontal="center" wrapText="1"/>
    </xf>
    <xf numFmtId="0" fontId="22" fillId="4" borderId="28" xfId="0" applyFont="1" applyFill="1" applyBorder="1" applyAlignment="1">
      <alignment horizontal="center" wrapText="1"/>
    </xf>
    <xf numFmtId="0" fontId="22" fillId="4" borderId="0" xfId="0" applyFont="1" applyFill="1" applyAlignment="1">
      <alignment horizontal="center" wrapText="1"/>
    </xf>
    <xf numFmtId="0" fontId="22" fillId="4" borderId="17" xfId="0" applyFont="1" applyFill="1" applyBorder="1" applyAlignment="1">
      <alignment horizontal="center" wrapText="1"/>
    </xf>
    <xf numFmtId="0" fontId="7" fillId="4" borderId="29" xfId="2" applyFill="1" applyBorder="1" applyAlignment="1" applyProtection="1">
      <alignment horizontal="center"/>
      <protection locked="0" hidden="1"/>
    </xf>
    <xf numFmtId="0" fontId="7" fillId="4" borderId="30" xfId="2" applyFill="1" applyBorder="1" applyAlignment="1" applyProtection="1">
      <alignment horizontal="center"/>
      <protection locked="0" hidden="1"/>
    </xf>
    <xf numFmtId="0" fontId="7" fillId="4" borderId="21" xfId="2" applyFill="1" applyBorder="1" applyAlignment="1" applyProtection="1">
      <alignment horizontal="center"/>
      <protection locked="0" hidden="1"/>
    </xf>
    <xf numFmtId="0" fontId="44" fillId="5" borderId="23" xfId="0" applyFont="1" applyFill="1" applyBorder="1" applyAlignment="1" applyProtection="1">
      <alignment horizontal="center"/>
      <protection hidden="1"/>
    </xf>
    <xf numFmtId="0" fontId="44" fillId="5" borderId="24" xfId="0" applyFont="1" applyFill="1" applyBorder="1" applyAlignment="1" applyProtection="1">
      <alignment horizontal="center"/>
      <protection hidden="1"/>
    </xf>
    <xf numFmtId="0" fontId="44" fillId="5" borderId="7" xfId="0" applyFont="1" applyFill="1" applyBorder="1" applyAlignment="1" applyProtection="1">
      <alignment horizontal="center"/>
      <protection hidden="1"/>
    </xf>
    <xf numFmtId="0" fontId="25" fillId="16" borderId="26" xfId="0" applyFont="1" applyFill="1" applyBorder="1" applyAlignment="1" applyProtection="1">
      <alignment horizontal="center" vertical="center"/>
      <protection hidden="1"/>
    </xf>
    <xf numFmtId="0" fontId="25" fillId="16" borderId="28" xfId="0" applyFont="1" applyFill="1" applyBorder="1" applyAlignment="1" applyProtection="1">
      <alignment horizontal="center" vertical="center"/>
      <protection hidden="1"/>
    </xf>
    <xf numFmtId="0" fontId="25" fillId="16" borderId="29" xfId="0" applyFont="1" applyFill="1" applyBorder="1" applyAlignment="1" applyProtection="1">
      <alignment horizontal="center" vertical="center"/>
      <protection hidden="1"/>
    </xf>
    <xf numFmtId="2" fontId="25" fillId="16" borderId="13" xfId="0" applyNumberFormat="1" applyFont="1" applyFill="1" applyBorder="1" applyAlignment="1" applyProtection="1">
      <alignment horizontal="left" vertical="center"/>
      <protection hidden="1"/>
    </xf>
    <xf numFmtId="2" fontId="25" fillId="16" borderId="17" xfId="0" applyNumberFormat="1" applyFont="1" applyFill="1" applyBorder="1" applyAlignment="1" applyProtection="1">
      <alignment horizontal="left" vertical="center"/>
      <protection hidden="1"/>
    </xf>
    <xf numFmtId="2" fontId="25" fillId="16" borderId="21" xfId="0" applyNumberFormat="1" applyFont="1" applyFill="1" applyBorder="1" applyAlignment="1" applyProtection="1">
      <alignment horizontal="left" vertical="center"/>
      <protection hidden="1"/>
    </xf>
    <xf numFmtId="0" fontId="1" fillId="0" borderId="52" xfId="0" applyFont="1" applyBorder="1" applyAlignment="1">
      <alignment horizontal="center"/>
    </xf>
    <xf numFmtId="0" fontId="1" fillId="0" borderId="51" xfId="0" applyFont="1" applyBorder="1" applyAlignment="1">
      <alignment horizontal="center"/>
    </xf>
    <xf numFmtId="0" fontId="1" fillId="0" borderId="53" xfId="0" applyFont="1" applyBorder="1" applyAlignment="1">
      <alignment horizontal="center"/>
    </xf>
    <xf numFmtId="0" fontId="8" fillId="16" borderId="70" xfId="0" applyFont="1" applyFill="1" applyBorder="1" applyAlignment="1" applyProtection="1">
      <alignment horizontal="center"/>
      <protection locked="0" hidden="1"/>
    </xf>
    <xf numFmtId="0" fontId="8" fillId="16" borderId="49" xfId="0" applyFont="1" applyFill="1" applyBorder="1" applyAlignment="1" applyProtection="1">
      <alignment horizontal="center"/>
      <protection locked="0" hidden="1"/>
    </xf>
    <xf numFmtId="0" fontId="0" fillId="0" borderId="52" xfId="0" applyBorder="1" applyAlignment="1">
      <alignment horizontal="center"/>
    </xf>
    <xf numFmtId="0" fontId="0" fillId="0" borderId="51" xfId="0" applyBorder="1" applyAlignment="1">
      <alignment horizontal="center"/>
    </xf>
    <xf numFmtId="0" fontId="0" fillId="9" borderId="53" xfId="0" applyFill="1" applyBorder="1" applyAlignment="1">
      <alignment horizontal="center" vertical="center" wrapText="1"/>
    </xf>
    <xf numFmtId="0" fontId="0" fillId="9" borderId="25" xfId="0" applyFill="1" applyBorder="1" applyAlignment="1">
      <alignment horizontal="center" vertical="center" wrapText="1"/>
    </xf>
    <xf numFmtId="0" fontId="1" fillId="4" borderId="48" xfId="0" applyFont="1" applyFill="1" applyBorder="1" applyAlignment="1">
      <alignment horizontal="center"/>
    </xf>
    <xf numFmtId="0" fontId="1" fillId="4" borderId="47" xfId="0" applyFont="1" applyFill="1" applyBorder="1" applyAlignment="1">
      <alignment horizontal="center"/>
    </xf>
    <xf numFmtId="0" fontId="53" fillId="4" borderId="50" xfId="0" applyFont="1" applyFill="1" applyBorder="1" applyAlignment="1">
      <alignment horizontal="center" vertical="center" wrapText="1"/>
    </xf>
    <xf numFmtId="0" fontId="53" fillId="4" borderId="63" xfId="0" applyFont="1" applyFill="1" applyBorder="1" applyAlignment="1">
      <alignment horizontal="center" vertical="center" wrapText="1"/>
    </xf>
    <xf numFmtId="0" fontId="53" fillId="4" borderId="28" xfId="0" applyFont="1" applyFill="1" applyBorder="1" applyAlignment="1">
      <alignment horizontal="center" vertical="center" wrapText="1"/>
    </xf>
    <xf numFmtId="0" fontId="53" fillId="4" borderId="17" xfId="0" applyFont="1" applyFill="1" applyBorder="1" applyAlignment="1">
      <alignment horizontal="center" vertical="center" wrapText="1"/>
    </xf>
    <xf numFmtId="0" fontId="53" fillId="4" borderId="29" xfId="0" applyFont="1" applyFill="1" applyBorder="1" applyAlignment="1">
      <alignment horizontal="center" vertical="center" wrapText="1"/>
    </xf>
    <xf numFmtId="0" fontId="53" fillId="4" borderId="21" xfId="0" applyFont="1" applyFill="1" applyBorder="1" applyAlignment="1">
      <alignment horizontal="center" vertical="center" wrapText="1"/>
    </xf>
    <xf numFmtId="0" fontId="7" fillId="4" borderId="14" xfId="2" applyFill="1" applyBorder="1" applyAlignment="1">
      <alignment horizontal="center" wrapText="1"/>
    </xf>
    <xf numFmtId="0" fontId="7" fillId="4" borderId="92" xfId="2" applyFill="1" applyBorder="1" applyAlignment="1">
      <alignment horizontal="center" wrapText="1"/>
    </xf>
    <xf numFmtId="0" fontId="7" fillId="4" borderId="38" xfId="2" applyFill="1" applyBorder="1" applyAlignment="1">
      <alignment horizontal="center" wrapText="1"/>
    </xf>
    <xf numFmtId="0" fontId="7" fillId="4" borderId="39" xfId="2" applyFill="1" applyBorder="1" applyAlignment="1">
      <alignment horizontal="center" wrapText="1"/>
    </xf>
    <xf numFmtId="0" fontId="10" fillId="4" borderId="100" xfId="0" applyFont="1" applyFill="1" applyBorder="1" applyAlignment="1">
      <alignment horizontal="center" vertical="center"/>
    </xf>
    <xf numFmtId="0" fontId="0" fillId="4" borderId="98" xfId="0" applyFill="1" applyBorder="1" applyAlignment="1">
      <alignment horizontal="center" vertical="center"/>
    </xf>
    <xf numFmtId="0" fontId="22" fillId="4" borderId="0" xfId="0" applyFont="1" applyFill="1" applyAlignment="1">
      <alignment horizontal="right"/>
    </xf>
    <xf numFmtId="0" fontId="0" fillId="3" borderId="26" xfId="0" applyFill="1" applyBorder="1" applyAlignment="1" applyProtection="1">
      <alignment horizontal="center"/>
      <protection hidden="1"/>
    </xf>
    <xf numFmtId="0" fontId="0" fillId="3" borderId="13" xfId="0" applyFill="1" applyBorder="1" applyAlignment="1" applyProtection="1">
      <alignment horizontal="center"/>
      <protection hidden="1"/>
    </xf>
    <xf numFmtId="0" fontId="0" fillId="0" borderId="2" xfId="0" applyBorder="1" applyAlignment="1" applyProtection="1">
      <alignment horizontal="center"/>
      <protection hidden="1"/>
    </xf>
    <xf numFmtId="0" fontId="0" fillId="0" borderId="25" xfId="0" applyBorder="1" applyAlignment="1" applyProtection="1">
      <alignment horizontal="center"/>
      <protection hidden="1"/>
    </xf>
    <xf numFmtId="0" fontId="0" fillId="0" borderId="3" xfId="0" applyBorder="1" applyAlignment="1" applyProtection="1">
      <alignment horizontal="center"/>
      <protection hidden="1"/>
    </xf>
    <xf numFmtId="0" fontId="7" fillId="0" borderId="8" xfId="2" applyBorder="1" applyAlignment="1" applyProtection="1">
      <alignment horizontal="center" vertical="center"/>
      <protection locked="0" hidden="1"/>
    </xf>
    <xf numFmtId="0" fontId="7" fillId="0" borderId="9" xfId="2" applyBorder="1" applyAlignment="1" applyProtection="1">
      <alignment horizontal="center" vertical="center"/>
      <protection locked="0" hidden="1"/>
    </xf>
    <xf numFmtId="0" fontId="1" fillId="5" borderId="4" xfId="0" applyFont="1" applyFill="1" applyBorder="1" applyAlignment="1" applyProtection="1">
      <alignment horizontal="center"/>
      <protection hidden="1"/>
    </xf>
    <xf numFmtId="0" fontId="1" fillId="5" borderId="22" xfId="0" applyFont="1" applyFill="1" applyBorder="1" applyAlignment="1" applyProtection="1">
      <alignment horizontal="center"/>
      <protection hidden="1"/>
    </xf>
    <xf numFmtId="0" fontId="1" fillId="5" borderId="5" xfId="0" applyFont="1" applyFill="1" applyBorder="1" applyAlignment="1" applyProtection="1">
      <alignment horizontal="center"/>
      <protection hidden="1"/>
    </xf>
    <xf numFmtId="0" fontId="0" fillId="5" borderId="23" xfId="0" applyFill="1" applyBorder="1" applyAlignment="1" applyProtection="1">
      <alignment horizontal="center"/>
      <protection hidden="1"/>
    </xf>
    <xf numFmtId="0" fontId="0" fillId="5" borderId="24" xfId="0" applyFill="1" applyBorder="1" applyAlignment="1" applyProtection="1">
      <alignment horizontal="center"/>
      <protection hidden="1"/>
    </xf>
    <xf numFmtId="0" fontId="0" fillId="5" borderId="7" xfId="0" applyFill="1" applyBorder="1" applyAlignment="1" applyProtection="1">
      <alignment horizontal="center"/>
      <protection hidden="1"/>
    </xf>
    <xf numFmtId="0" fontId="7" fillId="0" borderId="31" xfId="2" applyBorder="1" applyAlignment="1" applyProtection="1">
      <alignment horizontal="center" vertical="center"/>
      <protection locked="0" hidden="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2" borderId="43" xfId="0" applyFill="1" applyBorder="1" applyAlignment="1">
      <alignment horizontal="center"/>
    </xf>
    <xf numFmtId="0" fontId="0" fillId="2" borderId="24" xfId="0" applyFill="1" applyBorder="1" applyAlignment="1">
      <alignment horizontal="center"/>
    </xf>
    <xf numFmtId="0" fontId="0" fillId="3" borderId="48" xfId="0" applyFill="1" applyBorder="1" applyAlignment="1">
      <alignment horizontal="center"/>
    </xf>
    <xf numFmtId="0" fontId="0" fillId="3" borderId="25" xfId="0" applyFill="1" applyBorder="1" applyAlignment="1">
      <alignment horizontal="center"/>
    </xf>
    <xf numFmtId="0" fontId="0" fillId="5" borderId="43" xfId="0" applyFill="1" applyBorder="1" applyAlignment="1">
      <alignment horizontal="center"/>
    </xf>
    <xf numFmtId="0" fontId="0" fillId="5" borderId="24" xfId="0" applyFill="1" applyBorder="1" applyAlignment="1">
      <alignment horizontal="center"/>
    </xf>
    <xf numFmtId="0" fontId="0" fillId="16" borderId="29" xfId="0" applyFill="1" applyBorder="1" applyAlignment="1">
      <alignment horizontal="center"/>
    </xf>
    <xf numFmtId="0" fontId="0" fillId="16" borderId="30" xfId="0" applyFill="1" applyBorder="1" applyAlignment="1">
      <alignment horizontal="center"/>
    </xf>
    <xf numFmtId="0" fontId="0" fillId="0" borderId="1" xfId="0" applyBorder="1" applyAlignment="1" applyProtection="1">
      <alignment horizontal="center"/>
      <protection hidden="1"/>
    </xf>
    <xf numFmtId="0" fontId="0" fillId="3" borderId="2" xfId="0" applyFill="1" applyBorder="1" applyAlignment="1" applyProtection="1">
      <alignment horizontal="right"/>
      <protection hidden="1"/>
    </xf>
    <xf numFmtId="0" fontId="0" fillId="3" borderId="25" xfId="0" applyFill="1" applyBorder="1" applyAlignment="1" applyProtection="1">
      <alignment horizontal="right"/>
      <protection hidden="1"/>
    </xf>
    <xf numFmtId="0" fontId="0" fillId="3" borderId="25" xfId="0" applyFill="1" applyBorder="1" applyAlignment="1" applyProtection="1">
      <alignment horizontal="left"/>
      <protection hidden="1"/>
    </xf>
    <xf numFmtId="0" fontId="0" fillId="3" borderId="3" xfId="0" applyFill="1" applyBorder="1" applyAlignment="1" applyProtection="1">
      <alignment horizontal="left"/>
      <protection hidden="1"/>
    </xf>
    <xf numFmtId="0" fontId="8" fillId="0" borderId="31" xfId="0" applyFont="1" applyBorder="1" applyAlignment="1" applyProtection="1">
      <alignment horizontal="center" vertical="center"/>
      <protection locked="0" hidden="1"/>
    </xf>
    <xf numFmtId="0" fontId="8" fillId="0" borderId="8" xfId="0" applyFont="1" applyBorder="1" applyAlignment="1" applyProtection="1">
      <alignment horizontal="center" vertical="center"/>
      <protection locked="0" hidden="1"/>
    </xf>
    <xf numFmtId="0" fontId="8" fillId="0" borderId="9" xfId="0" applyFont="1" applyBorder="1" applyAlignment="1" applyProtection="1">
      <alignment horizontal="center" vertical="center"/>
      <protection locked="0" hidden="1"/>
    </xf>
    <xf numFmtId="2" fontId="25" fillId="16" borderId="13" xfId="0" applyNumberFormat="1" applyFont="1" applyFill="1" applyBorder="1" applyAlignment="1" applyProtection="1">
      <alignment horizontal="left" vertical="center" wrapText="1"/>
      <protection hidden="1"/>
    </xf>
    <xf numFmtId="2" fontId="25" fillId="16" borderId="17" xfId="0" applyNumberFormat="1" applyFont="1" applyFill="1" applyBorder="1" applyAlignment="1" applyProtection="1">
      <alignment horizontal="left" vertical="center" wrapText="1"/>
      <protection hidden="1"/>
    </xf>
    <xf numFmtId="2" fontId="25" fillId="16" borderId="21" xfId="0" applyNumberFormat="1" applyFont="1" applyFill="1" applyBorder="1" applyAlignment="1" applyProtection="1">
      <alignment horizontal="left" vertical="center" wrapText="1"/>
      <protection hidden="1"/>
    </xf>
    <xf numFmtId="0" fontId="25" fillId="8" borderId="26" xfId="0" applyFont="1" applyFill="1" applyBorder="1" applyAlignment="1" applyProtection="1">
      <alignment horizontal="center" vertical="center"/>
      <protection hidden="1"/>
    </xf>
    <xf numFmtId="0" fontId="25" fillId="8" borderId="28" xfId="0" applyFont="1" applyFill="1" applyBorder="1" applyAlignment="1" applyProtection="1">
      <alignment horizontal="center" vertical="center"/>
      <protection hidden="1"/>
    </xf>
    <xf numFmtId="0" fontId="25" fillId="8" borderId="29" xfId="0" applyFont="1" applyFill="1" applyBorder="1" applyAlignment="1" applyProtection="1">
      <alignment horizontal="center" vertical="center"/>
      <protection hidden="1"/>
    </xf>
    <xf numFmtId="2" fontId="25" fillId="8" borderId="13" xfId="0" applyNumberFormat="1" applyFont="1" applyFill="1" applyBorder="1" applyAlignment="1" applyProtection="1">
      <alignment horizontal="left" vertical="center"/>
      <protection hidden="1"/>
    </xf>
    <xf numFmtId="2" fontId="25" fillId="8" borderId="17" xfId="0" applyNumberFormat="1" applyFont="1" applyFill="1" applyBorder="1" applyAlignment="1" applyProtection="1">
      <alignment horizontal="left" vertical="center"/>
      <protection hidden="1"/>
    </xf>
    <xf numFmtId="2" fontId="25" fillId="8" borderId="21" xfId="0" applyNumberFormat="1" applyFont="1" applyFill="1" applyBorder="1" applyAlignment="1" applyProtection="1">
      <alignment horizontal="left" vertical="center"/>
      <protection hidden="1"/>
    </xf>
    <xf numFmtId="0" fontId="1" fillId="0" borderId="32" xfId="0" applyFont="1" applyBorder="1" applyAlignment="1" applyProtection="1">
      <alignment horizontal="center"/>
      <protection hidden="1"/>
    </xf>
    <xf numFmtId="0" fontId="1" fillId="0" borderId="33" xfId="0" applyFont="1" applyBorder="1" applyAlignment="1" applyProtection="1">
      <alignment horizontal="center"/>
      <protection hidden="1"/>
    </xf>
    <xf numFmtId="0" fontId="1" fillId="0" borderId="34" xfId="0" applyFont="1" applyBorder="1" applyAlignment="1" applyProtection="1">
      <alignment horizontal="center"/>
      <protection hidden="1"/>
    </xf>
    <xf numFmtId="2" fontId="51" fillId="16" borderId="57" xfId="0" applyNumberFormat="1" applyFont="1" applyFill="1" applyBorder="1" applyAlignment="1" applyProtection="1">
      <alignment horizontal="center" vertical="center"/>
      <protection hidden="1"/>
    </xf>
    <xf numFmtId="2" fontId="51" fillId="16" borderId="93" xfId="0" applyNumberFormat="1" applyFont="1" applyFill="1" applyBorder="1" applyAlignment="1" applyProtection="1">
      <alignment horizontal="center" vertical="center"/>
      <protection hidden="1"/>
    </xf>
    <xf numFmtId="2" fontId="51" fillId="16" borderId="38" xfId="0" applyNumberFormat="1" applyFont="1" applyFill="1" applyBorder="1" applyAlignment="1" applyProtection="1">
      <alignment horizontal="center" vertical="center"/>
      <protection hidden="1"/>
    </xf>
    <xf numFmtId="2" fontId="51" fillId="16" borderId="2" xfId="0" applyNumberFormat="1" applyFont="1" applyFill="1" applyBorder="1" applyAlignment="1" applyProtection="1">
      <alignment horizontal="center" vertical="center"/>
      <protection hidden="1"/>
    </xf>
    <xf numFmtId="0" fontId="1" fillId="5" borderId="4" xfId="0" applyFont="1" applyFill="1" applyBorder="1" applyAlignment="1" applyProtection="1">
      <alignment horizontal="center" vertical="center"/>
      <protection hidden="1"/>
    </xf>
    <xf numFmtId="0" fontId="1" fillId="5" borderId="22" xfId="0" applyFont="1" applyFill="1" applyBorder="1" applyAlignment="1" applyProtection="1">
      <alignment horizontal="center" vertical="center"/>
      <protection hidden="1"/>
    </xf>
    <xf numFmtId="0" fontId="1" fillId="5" borderId="5" xfId="0" applyFont="1" applyFill="1" applyBorder="1" applyAlignment="1" applyProtection="1">
      <alignment horizontal="center" vertical="center"/>
      <protection hidden="1"/>
    </xf>
    <xf numFmtId="0" fontId="1" fillId="5" borderId="23" xfId="0" applyFont="1" applyFill="1" applyBorder="1" applyAlignment="1" applyProtection="1">
      <alignment horizontal="center" vertical="center"/>
      <protection hidden="1"/>
    </xf>
    <xf numFmtId="0" fontId="1" fillId="5" borderId="24" xfId="0" applyFont="1" applyFill="1" applyBorder="1" applyAlignment="1" applyProtection="1">
      <alignment horizontal="center" vertical="center"/>
      <protection hidden="1"/>
    </xf>
    <xf numFmtId="0" fontId="1" fillId="5" borderId="7" xfId="0" applyFont="1" applyFill="1" applyBorder="1" applyAlignment="1" applyProtection="1">
      <alignment horizontal="center" vertical="center"/>
      <protection hidden="1"/>
    </xf>
    <xf numFmtId="0" fontId="1" fillId="5" borderId="2" xfId="0" applyFont="1" applyFill="1" applyBorder="1" applyAlignment="1" applyProtection="1">
      <alignment horizontal="center"/>
      <protection hidden="1"/>
    </xf>
    <xf numFmtId="0" fontId="1" fillId="5" borderId="25" xfId="0" applyFont="1" applyFill="1" applyBorder="1" applyAlignment="1" applyProtection="1">
      <alignment horizontal="center"/>
      <protection hidden="1"/>
    </xf>
    <xf numFmtId="0" fontId="1" fillId="5" borderId="3" xfId="0" applyFont="1" applyFill="1" applyBorder="1" applyAlignment="1" applyProtection="1">
      <alignment horizontal="center"/>
      <protection hidden="1"/>
    </xf>
    <xf numFmtId="2" fontId="51" fillId="8" borderId="64" xfId="0" applyNumberFormat="1" applyFont="1" applyFill="1" applyBorder="1" applyAlignment="1" applyProtection="1">
      <alignment horizontal="center" vertical="center"/>
      <protection hidden="1"/>
    </xf>
    <xf numFmtId="2" fontId="51" fillId="8" borderId="60" xfId="0" applyNumberFormat="1" applyFont="1" applyFill="1" applyBorder="1" applyAlignment="1" applyProtection="1">
      <alignment horizontal="center" vertical="center"/>
      <protection hidden="1"/>
    </xf>
    <xf numFmtId="2" fontId="51" fillId="8" borderId="98" xfId="0" applyNumberFormat="1" applyFont="1" applyFill="1" applyBorder="1" applyAlignment="1" applyProtection="1">
      <alignment horizontal="center" vertical="center"/>
      <protection hidden="1"/>
    </xf>
    <xf numFmtId="0" fontId="51" fillId="16" borderId="96" xfId="0" applyFont="1" applyFill="1" applyBorder="1" applyAlignment="1" applyProtection="1">
      <alignment horizontal="center" vertical="center"/>
      <protection hidden="1"/>
    </xf>
    <xf numFmtId="0" fontId="51" fillId="16" borderId="95" xfId="0" applyFont="1" applyFill="1" applyBorder="1" applyAlignment="1" applyProtection="1">
      <alignment horizontal="center" vertical="center"/>
      <protection hidden="1"/>
    </xf>
    <xf numFmtId="2" fontId="51" fillId="16" borderId="96" xfId="0" applyNumberFormat="1" applyFont="1" applyFill="1" applyBorder="1" applyAlignment="1" applyProtection="1">
      <alignment horizontal="center" vertical="center"/>
      <protection hidden="1"/>
    </xf>
    <xf numFmtId="0" fontId="52" fillId="8" borderId="64" xfId="0" applyFont="1" applyFill="1" applyBorder="1" applyAlignment="1">
      <alignment horizontal="center" vertical="center"/>
    </xf>
    <xf numFmtId="0" fontId="52" fillId="8" borderId="60" xfId="0" applyFont="1" applyFill="1" applyBorder="1" applyAlignment="1">
      <alignment horizontal="center" vertical="center"/>
    </xf>
    <xf numFmtId="0" fontId="52" fillId="8" borderId="61" xfId="0" applyFont="1" applyFill="1" applyBorder="1" applyAlignment="1">
      <alignment horizontal="center" vertical="center"/>
    </xf>
    <xf numFmtId="0" fontId="1" fillId="5" borderId="2" xfId="0" applyFont="1" applyFill="1" applyBorder="1" applyAlignment="1">
      <alignment horizontal="center"/>
    </xf>
    <xf numFmtId="0" fontId="1" fillId="5" borderId="25" xfId="0" applyFont="1" applyFill="1" applyBorder="1" applyAlignment="1">
      <alignment horizontal="center"/>
    </xf>
    <xf numFmtId="0" fontId="1" fillId="5" borderId="3" xfId="0" applyFont="1" applyFill="1" applyBorder="1" applyAlignment="1">
      <alignment horizontal="center"/>
    </xf>
    <xf numFmtId="2" fontId="51" fillId="16" borderId="58" xfId="0" applyNumberFormat="1" applyFont="1" applyFill="1" applyBorder="1" applyAlignment="1" applyProtection="1">
      <alignment horizontal="center" vertical="center"/>
      <protection hidden="1"/>
    </xf>
    <xf numFmtId="2" fontId="51" fillId="16" borderId="59" xfId="0" applyNumberFormat="1" applyFont="1" applyFill="1" applyBorder="1" applyAlignment="1" applyProtection="1">
      <alignment horizontal="center" vertical="center"/>
      <protection hidden="1"/>
    </xf>
    <xf numFmtId="2" fontId="51" fillId="16" borderId="1" xfId="0" applyNumberFormat="1" applyFont="1" applyFill="1" applyBorder="1" applyAlignment="1" applyProtection="1">
      <alignment horizontal="center" vertical="center"/>
      <protection hidden="1"/>
    </xf>
    <xf numFmtId="2" fontId="51" fillId="16" borderId="39" xfId="0" applyNumberFormat="1" applyFont="1" applyFill="1" applyBorder="1" applyAlignment="1" applyProtection="1">
      <alignment horizontal="center" vertical="center"/>
      <protection hidden="1"/>
    </xf>
    <xf numFmtId="0" fontId="1" fillId="0" borderId="40" xfId="0" applyFont="1" applyBorder="1" applyAlignment="1">
      <alignment horizontal="center"/>
    </xf>
    <xf numFmtId="0" fontId="1" fillId="0" borderId="41" xfId="0" applyFont="1" applyBorder="1" applyAlignment="1">
      <alignment horizontal="center"/>
    </xf>
    <xf numFmtId="0" fontId="1" fillId="0" borderId="42" xfId="0" applyFont="1" applyBorder="1" applyAlignment="1">
      <alignment horizontal="center"/>
    </xf>
    <xf numFmtId="0" fontId="51" fillId="16" borderId="26" xfId="0" applyFont="1" applyFill="1" applyBorder="1" applyAlignment="1" applyProtection="1">
      <alignment horizontal="center" vertical="center"/>
      <protection hidden="1"/>
    </xf>
    <xf numFmtId="0" fontId="51" fillId="16" borderId="13" xfId="0" applyFont="1" applyFill="1" applyBorder="1" applyAlignment="1" applyProtection="1">
      <alignment horizontal="center" vertical="center"/>
      <protection hidden="1"/>
    </xf>
    <xf numFmtId="0" fontId="51" fillId="16" borderId="28" xfId="0" applyFont="1" applyFill="1" applyBorder="1" applyAlignment="1" applyProtection="1">
      <alignment horizontal="center" vertical="center"/>
      <protection hidden="1"/>
    </xf>
    <xf numFmtId="0" fontId="51" fillId="16" borderId="17" xfId="0" applyFont="1" applyFill="1" applyBorder="1" applyAlignment="1" applyProtection="1">
      <alignment horizontal="center" vertical="center"/>
      <protection hidden="1"/>
    </xf>
    <xf numFmtId="0" fontId="51" fillId="16" borderId="43" xfId="0" applyFont="1" applyFill="1" applyBorder="1" applyAlignment="1" applyProtection="1">
      <alignment horizontal="center" vertical="center"/>
      <protection hidden="1"/>
    </xf>
    <xf numFmtId="0" fontId="51" fillId="16" borderId="15" xfId="0" applyFont="1" applyFill="1" applyBorder="1" applyAlignment="1" applyProtection="1">
      <alignment horizontal="center" vertical="center"/>
      <protection hidden="1"/>
    </xf>
    <xf numFmtId="0" fontId="1" fillId="0" borderId="69" xfId="0" applyFont="1" applyBorder="1" applyAlignment="1">
      <alignment horizontal="center"/>
    </xf>
    <xf numFmtId="0" fontId="1" fillId="0" borderId="49" xfId="0" applyFont="1" applyBorder="1" applyAlignment="1">
      <alignment horizontal="center"/>
    </xf>
    <xf numFmtId="0" fontId="1" fillId="0" borderId="94" xfId="0" applyFont="1" applyBorder="1" applyAlignment="1">
      <alignment horizontal="center"/>
    </xf>
    <xf numFmtId="0" fontId="0" fillId="5" borderId="32" xfId="0" applyFill="1" applyBorder="1" applyAlignment="1" applyProtection="1">
      <alignment horizontal="center"/>
      <protection hidden="1"/>
    </xf>
    <xf numFmtId="0" fontId="0" fillId="5" borderId="33" xfId="0" applyFill="1" applyBorder="1" applyAlignment="1" applyProtection="1">
      <alignment horizontal="center"/>
      <protection hidden="1"/>
    </xf>
    <xf numFmtId="0" fontId="0" fillId="5" borderId="34" xfId="0" applyFill="1" applyBorder="1" applyAlignment="1" applyProtection="1">
      <alignment horizontal="center"/>
      <protection hidden="1"/>
    </xf>
    <xf numFmtId="0" fontId="4" fillId="0" borderId="2" xfId="0" applyFont="1" applyBorder="1" applyAlignment="1" applyProtection="1">
      <alignment horizontal="center" vertical="center"/>
      <protection hidden="1"/>
    </xf>
    <xf numFmtId="0" fontId="4" fillId="0" borderId="3" xfId="0" applyFont="1" applyBorder="1" applyAlignment="1" applyProtection="1">
      <alignment horizontal="center" vertical="center"/>
      <protection hidden="1"/>
    </xf>
    <xf numFmtId="0" fontId="0" fillId="19" borderId="31" xfId="0" applyFill="1" applyBorder="1" applyAlignment="1">
      <alignment horizontal="center" vertical="center" wrapText="1"/>
    </xf>
    <xf numFmtId="0" fontId="0" fillId="19" borderId="8" xfId="0" applyFill="1" applyBorder="1" applyAlignment="1">
      <alignment horizontal="center" vertical="center" wrapText="1"/>
    </xf>
    <xf numFmtId="0" fontId="0" fillId="19" borderId="9" xfId="0" applyFill="1" applyBorder="1" applyAlignment="1">
      <alignment horizontal="center" vertical="center" wrapText="1"/>
    </xf>
    <xf numFmtId="0" fontId="16" fillId="16" borderId="26" xfId="0" applyFont="1" applyFill="1" applyBorder="1" applyAlignment="1" applyProtection="1">
      <alignment horizontal="center" vertical="center"/>
      <protection hidden="1"/>
    </xf>
    <xf numFmtId="0" fontId="16" fillId="16" borderId="27" xfId="0" applyFont="1" applyFill="1" applyBorder="1" applyAlignment="1" applyProtection="1">
      <alignment horizontal="center" vertical="center"/>
      <protection hidden="1"/>
    </xf>
    <xf numFmtId="0" fontId="16" fillId="16" borderId="13" xfId="0" applyFont="1" applyFill="1" applyBorder="1" applyAlignment="1" applyProtection="1">
      <alignment horizontal="center" vertical="center"/>
      <protection hidden="1"/>
    </xf>
    <xf numFmtId="0" fontId="16" fillId="16" borderId="43" xfId="0" applyFont="1" applyFill="1" applyBorder="1" applyAlignment="1" applyProtection="1">
      <alignment horizontal="center" vertical="center"/>
      <protection hidden="1"/>
    </xf>
    <xf numFmtId="0" fontId="16" fillId="16" borderId="24" xfId="0" applyFont="1" applyFill="1" applyBorder="1" applyAlignment="1" applyProtection="1">
      <alignment horizontal="center" vertical="center"/>
      <protection hidden="1"/>
    </xf>
    <xf numFmtId="0" fontId="16" fillId="16" borderId="15" xfId="0" applyFont="1" applyFill="1" applyBorder="1" applyAlignment="1" applyProtection="1">
      <alignment horizontal="center" vertical="center"/>
      <protection hidden="1"/>
    </xf>
    <xf numFmtId="0" fontId="0" fillId="3" borderId="1" xfId="0" applyFill="1" applyBorder="1" applyAlignment="1" applyProtection="1">
      <alignment horizontal="right"/>
      <protection hidden="1"/>
    </xf>
    <xf numFmtId="0" fontId="0" fillId="3" borderId="1" xfId="0" applyFill="1" applyBorder="1" applyAlignment="1" applyProtection="1">
      <alignment horizontal="left"/>
      <protection hidden="1"/>
    </xf>
    <xf numFmtId="2" fontId="15" fillId="16" borderId="28" xfId="0" applyNumberFormat="1" applyFont="1" applyFill="1" applyBorder="1" applyAlignment="1" applyProtection="1">
      <alignment horizontal="right" vertical="center"/>
      <protection hidden="1"/>
    </xf>
    <xf numFmtId="2" fontId="15" fillId="16" borderId="0" xfId="0" applyNumberFormat="1" applyFont="1" applyFill="1" applyAlignment="1" applyProtection="1">
      <alignment horizontal="right" vertical="center"/>
      <protection hidden="1"/>
    </xf>
    <xf numFmtId="2" fontId="15" fillId="16" borderId="29" xfId="0" applyNumberFormat="1" applyFont="1" applyFill="1" applyBorder="1" applyAlignment="1" applyProtection="1">
      <alignment horizontal="right" vertical="center"/>
      <protection hidden="1"/>
    </xf>
    <xf numFmtId="2" fontId="15" fillId="16" borderId="30" xfId="0" applyNumberFormat="1" applyFont="1" applyFill="1" applyBorder="1" applyAlignment="1" applyProtection="1">
      <alignment horizontal="right" vertical="center"/>
      <protection hidden="1"/>
    </xf>
    <xf numFmtId="0" fontId="16" fillId="16" borderId="0" xfId="0" applyFont="1" applyFill="1" applyAlignment="1" applyProtection="1">
      <alignment horizontal="left" vertical="center"/>
      <protection hidden="1"/>
    </xf>
    <xf numFmtId="0" fontId="16" fillId="16" borderId="17" xfId="0" applyFont="1" applyFill="1" applyBorder="1" applyAlignment="1" applyProtection="1">
      <alignment horizontal="left" vertical="center"/>
      <protection hidden="1"/>
    </xf>
    <xf numFmtId="0" fontId="16" fillId="16" borderId="30" xfId="0" applyFont="1" applyFill="1" applyBorder="1" applyAlignment="1" applyProtection="1">
      <alignment horizontal="left" vertical="center"/>
      <protection hidden="1"/>
    </xf>
    <xf numFmtId="0" fontId="16" fillId="16" borderId="21" xfId="0" applyFont="1" applyFill="1" applyBorder="1" applyAlignment="1" applyProtection="1">
      <alignment horizontal="left" vertical="center"/>
      <protection hidden="1"/>
    </xf>
    <xf numFmtId="0" fontId="19" fillId="3" borderId="25" xfId="0" applyFont="1" applyFill="1" applyBorder="1" applyAlignment="1" applyProtection="1">
      <alignment horizontal="left"/>
      <protection hidden="1"/>
    </xf>
    <xf numFmtId="0" fontId="19" fillId="3" borderId="3" xfId="0" applyFont="1" applyFill="1" applyBorder="1" applyAlignment="1" applyProtection="1">
      <alignment horizontal="left"/>
      <protection hidden="1"/>
    </xf>
    <xf numFmtId="0" fontId="0" fillId="3" borderId="57" xfId="0" applyFill="1" applyBorder="1" applyAlignment="1" applyProtection="1">
      <alignment horizontal="center"/>
      <protection hidden="1"/>
    </xf>
    <xf numFmtId="0" fontId="0" fillId="3" borderId="59" xfId="0" applyFill="1" applyBorder="1" applyAlignment="1" applyProtection="1">
      <alignment horizontal="center"/>
      <protection hidden="1"/>
    </xf>
    <xf numFmtId="0" fontId="0" fillId="5" borderId="50" xfId="0" applyFill="1" applyBorder="1" applyAlignment="1" applyProtection="1">
      <alignment horizontal="right"/>
      <protection hidden="1"/>
    </xf>
    <xf numFmtId="0" fontId="0" fillId="5" borderId="22" xfId="0" applyFill="1" applyBorder="1" applyAlignment="1" applyProtection="1">
      <alignment horizontal="right"/>
      <protection hidden="1"/>
    </xf>
    <xf numFmtId="0" fontId="0" fillId="5" borderId="69" xfId="0" applyFill="1" applyBorder="1" applyAlignment="1" applyProtection="1">
      <alignment horizontal="right"/>
      <protection hidden="1"/>
    </xf>
    <xf numFmtId="0" fontId="0" fillId="5" borderId="70" xfId="0" applyFill="1" applyBorder="1" applyAlignment="1" applyProtection="1">
      <alignment horizontal="right"/>
      <protection hidden="1"/>
    </xf>
    <xf numFmtId="0" fontId="0" fillId="0" borderId="43" xfId="0" applyBorder="1" applyAlignment="1" applyProtection="1">
      <alignment horizontal="center"/>
      <protection hidden="1"/>
    </xf>
    <xf numFmtId="0" fontId="0" fillId="0" borderId="24" xfId="0" applyBorder="1" applyAlignment="1" applyProtection="1">
      <alignment horizontal="center"/>
      <protection hidden="1"/>
    </xf>
    <xf numFmtId="0" fontId="0" fillId="0" borderId="15" xfId="0" applyBorder="1" applyAlignment="1" applyProtection="1">
      <alignment horizontal="center"/>
      <protection hidden="1"/>
    </xf>
    <xf numFmtId="0" fontId="0" fillId="13" borderId="32" xfId="0" applyFill="1" applyBorder="1" applyAlignment="1" applyProtection="1">
      <alignment horizontal="right"/>
      <protection hidden="1"/>
    </xf>
    <xf numFmtId="0" fontId="0" fillId="13" borderId="33" xfId="0" applyFill="1" applyBorder="1" applyAlignment="1" applyProtection="1">
      <alignment horizontal="right"/>
      <protection hidden="1"/>
    </xf>
    <xf numFmtId="0" fontId="0" fillId="19" borderId="1" xfId="0" applyFill="1" applyBorder="1" applyAlignment="1">
      <alignment horizontal="center" vertical="center"/>
    </xf>
    <xf numFmtId="0" fontId="1" fillId="0" borderId="44" xfId="0" applyFont="1" applyBorder="1" applyAlignment="1">
      <alignment horizontal="center"/>
    </xf>
    <xf numFmtId="0" fontId="1" fillId="0" borderId="45" xfId="0" applyFont="1" applyBorder="1" applyAlignment="1">
      <alignment horizontal="center"/>
    </xf>
    <xf numFmtId="0" fontId="1" fillId="0" borderId="46" xfId="0" applyFont="1" applyBorder="1" applyAlignment="1">
      <alignment horizontal="center"/>
    </xf>
    <xf numFmtId="0" fontId="0" fillId="5" borderId="2" xfId="0" applyFill="1" applyBorder="1" applyAlignment="1" applyProtection="1">
      <alignment horizontal="right"/>
      <protection hidden="1"/>
    </xf>
    <xf numFmtId="0" fontId="0" fillId="5" borderId="25" xfId="0" applyFill="1" applyBorder="1" applyAlignment="1" applyProtection="1">
      <alignment horizontal="right"/>
      <protection hidden="1"/>
    </xf>
    <xf numFmtId="0" fontId="0" fillId="19" borderId="1" xfId="0" applyFill="1" applyBorder="1" applyAlignment="1">
      <alignment horizontal="center" vertical="center" wrapText="1"/>
    </xf>
    <xf numFmtId="0" fontId="19" fillId="3" borderId="1" xfId="0" applyFont="1" applyFill="1" applyBorder="1" applyAlignment="1" applyProtection="1">
      <alignment horizontal="right"/>
      <protection hidden="1"/>
    </xf>
    <xf numFmtId="0" fontId="19" fillId="3" borderId="2" xfId="0" applyFont="1" applyFill="1" applyBorder="1" applyAlignment="1" applyProtection="1">
      <alignment horizontal="right"/>
      <protection hidden="1"/>
    </xf>
    <xf numFmtId="0" fontId="0" fillId="16" borderId="26" xfId="0" applyFill="1" applyBorder="1" applyAlignment="1">
      <alignment horizontal="center" vertical="center" wrapText="1"/>
    </xf>
    <xf numFmtId="0" fontId="0" fillId="16" borderId="27" xfId="0" applyFill="1" applyBorder="1" applyAlignment="1">
      <alignment horizontal="center" vertical="center" wrapText="1"/>
    </xf>
    <xf numFmtId="0" fontId="0" fillId="16" borderId="13" xfId="0" applyFill="1" applyBorder="1" applyAlignment="1">
      <alignment horizontal="center" vertical="center" wrapText="1"/>
    </xf>
    <xf numFmtId="0" fontId="0" fillId="16" borderId="28" xfId="0" applyFill="1" applyBorder="1" applyAlignment="1">
      <alignment horizontal="center" vertical="center" wrapText="1"/>
    </xf>
    <xf numFmtId="0" fontId="0" fillId="16" borderId="0" xfId="0" applyFill="1" applyAlignment="1">
      <alignment horizontal="center" vertical="center" wrapText="1"/>
    </xf>
    <xf numFmtId="0" fontId="0" fillId="16" borderId="17" xfId="0" applyFill="1" applyBorder="1" applyAlignment="1">
      <alignment horizontal="center" vertical="center" wrapText="1"/>
    </xf>
    <xf numFmtId="0" fontId="0" fillId="16" borderId="29" xfId="0" applyFill="1" applyBorder="1" applyAlignment="1">
      <alignment horizontal="center" vertical="center" wrapText="1"/>
    </xf>
    <xf numFmtId="0" fontId="0" fillId="16" borderId="30" xfId="0" applyFill="1" applyBorder="1" applyAlignment="1">
      <alignment horizontal="center" vertical="center" wrapText="1"/>
    </xf>
    <xf numFmtId="0" fontId="0" fillId="16" borderId="21" xfId="0" applyFill="1" applyBorder="1" applyAlignment="1">
      <alignment horizontal="center" vertical="center" wrapText="1"/>
    </xf>
    <xf numFmtId="0" fontId="0" fillId="5" borderId="4" xfId="0" applyFill="1" applyBorder="1" applyAlignment="1" applyProtection="1">
      <alignment horizontal="right" vertical="center"/>
      <protection hidden="1"/>
    </xf>
    <xf numFmtId="0" fontId="0" fillId="5" borderId="22" xfId="0" applyFill="1" applyBorder="1" applyAlignment="1" applyProtection="1">
      <alignment horizontal="right" vertical="center"/>
      <protection hidden="1"/>
    </xf>
    <xf numFmtId="0" fontId="0" fillId="5" borderId="23" xfId="0" applyFill="1" applyBorder="1" applyAlignment="1" applyProtection="1">
      <alignment horizontal="right" vertical="center"/>
      <protection hidden="1"/>
    </xf>
    <xf numFmtId="0" fontId="0" fillId="5" borderId="24" xfId="0" applyFill="1" applyBorder="1" applyAlignment="1" applyProtection="1">
      <alignment horizontal="right" vertical="center"/>
      <protection hidden="1"/>
    </xf>
    <xf numFmtId="0" fontId="0" fillId="6" borderId="31" xfId="0" applyFill="1" applyBorder="1" applyAlignment="1">
      <alignment horizontal="center" wrapText="1"/>
    </xf>
    <xf numFmtId="0" fontId="0" fillId="6" borderId="9" xfId="0" applyFill="1" applyBorder="1" applyAlignment="1">
      <alignment horizontal="center" wrapText="1"/>
    </xf>
    <xf numFmtId="0" fontId="0" fillId="3" borderId="2" xfId="0" applyFill="1" applyBorder="1" applyAlignment="1" applyProtection="1">
      <alignment horizontal="left"/>
      <protection hidden="1"/>
    </xf>
    <xf numFmtId="9" fontId="0" fillId="3" borderId="3" xfId="0" applyNumberFormat="1" applyFill="1" applyBorder="1" applyAlignment="1" applyProtection="1">
      <alignment horizontal="left"/>
      <protection hidden="1"/>
    </xf>
    <xf numFmtId="0" fontId="1" fillId="0" borderId="32" xfId="0" applyFont="1" applyBorder="1" applyAlignment="1">
      <alignment horizontal="center"/>
    </xf>
    <xf numFmtId="0" fontId="1" fillId="0" borderId="104"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0" fillId="3" borderId="57" xfId="0" applyFill="1" applyBorder="1" applyAlignment="1">
      <alignment horizontal="center"/>
    </xf>
    <xf numFmtId="0" fontId="0" fillId="3" borderId="59" xfId="0" applyFill="1" applyBorder="1" applyAlignment="1">
      <alignment horizontal="center"/>
    </xf>
    <xf numFmtId="0" fontId="16" fillId="16" borderId="26" xfId="0" applyFont="1" applyFill="1" applyBorder="1" applyAlignment="1">
      <alignment horizontal="center" vertical="center"/>
    </xf>
    <xf numFmtId="0" fontId="16" fillId="16" borderId="27" xfId="0" applyFont="1" applyFill="1" applyBorder="1" applyAlignment="1">
      <alignment horizontal="center" vertical="center"/>
    </xf>
    <xf numFmtId="0" fontId="16" fillId="16" borderId="13" xfId="0" applyFont="1" applyFill="1" applyBorder="1" applyAlignment="1">
      <alignment horizontal="center" vertical="center"/>
    </xf>
    <xf numFmtId="0" fontId="16" fillId="16" borderId="43" xfId="0" applyFont="1" applyFill="1" applyBorder="1" applyAlignment="1">
      <alignment horizontal="center" vertical="center"/>
    </xf>
    <xf numFmtId="0" fontId="16" fillId="16" borderId="24" xfId="0" applyFont="1" applyFill="1" applyBorder="1" applyAlignment="1">
      <alignment horizontal="center" vertical="center"/>
    </xf>
    <xf numFmtId="0" fontId="16" fillId="16" borderId="15" xfId="0" applyFont="1" applyFill="1" applyBorder="1" applyAlignment="1">
      <alignment horizontal="center" vertical="center"/>
    </xf>
    <xf numFmtId="2" fontId="15" fillId="16" borderId="28" xfId="0" applyNumberFormat="1" applyFont="1" applyFill="1" applyBorder="1" applyAlignment="1">
      <alignment horizontal="right" vertical="center"/>
    </xf>
    <xf numFmtId="2" fontId="15" fillId="16" borderId="0" xfId="0" applyNumberFormat="1" applyFont="1" applyFill="1" applyAlignment="1">
      <alignment horizontal="right" vertical="center"/>
    </xf>
    <xf numFmtId="2" fontId="15" fillId="16" borderId="29" xfId="0" applyNumberFormat="1" applyFont="1" applyFill="1" applyBorder="1" applyAlignment="1">
      <alignment horizontal="right" vertical="center"/>
    </xf>
    <xf numFmtId="2" fontId="15" fillId="16" borderId="30" xfId="0" applyNumberFormat="1" applyFont="1" applyFill="1" applyBorder="1" applyAlignment="1">
      <alignment horizontal="right" vertical="center"/>
    </xf>
    <xf numFmtId="0" fontId="16" fillId="16" borderId="0" xfId="0" applyFont="1" applyFill="1" applyAlignment="1">
      <alignment horizontal="left" vertical="center"/>
    </xf>
    <xf numFmtId="0" fontId="16" fillId="16" borderId="17" xfId="0" applyFont="1" applyFill="1" applyBorder="1" applyAlignment="1">
      <alignment horizontal="left" vertical="center"/>
    </xf>
    <xf numFmtId="0" fontId="16" fillId="16" borderId="30" xfId="0" applyFont="1" applyFill="1" applyBorder="1" applyAlignment="1">
      <alignment horizontal="left" vertical="center"/>
    </xf>
    <xf numFmtId="0" fontId="16" fillId="16" borderId="21" xfId="0" applyFont="1" applyFill="1" applyBorder="1" applyAlignment="1">
      <alignment horizontal="left" vertical="center"/>
    </xf>
    <xf numFmtId="0" fontId="0" fillId="3" borderId="1" xfId="0" applyFill="1" applyBorder="1" applyAlignment="1">
      <alignment horizontal="right"/>
    </xf>
    <xf numFmtId="0" fontId="0" fillId="3" borderId="2" xfId="0" applyFill="1" applyBorder="1" applyAlignment="1">
      <alignment horizontal="right"/>
    </xf>
    <xf numFmtId="0" fontId="0" fillId="3" borderId="25" xfId="0" applyFill="1" applyBorder="1" applyAlignment="1">
      <alignment horizontal="left"/>
    </xf>
    <xf numFmtId="0" fontId="0" fillId="3" borderId="3" xfId="0" applyFill="1" applyBorder="1" applyAlignment="1">
      <alignment horizontal="left"/>
    </xf>
    <xf numFmtId="0" fontId="0" fillId="3" borderId="1" xfId="0" applyFill="1" applyBorder="1" applyAlignment="1">
      <alignment horizontal="center"/>
    </xf>
    <xf numFmtId="0" fontId="0" fillId="0" borderId="1" xfId="0" applyBorder="1" applyAlignment="1">
      <alignment horizontal="center" vertical="center" wrapText="1"/>
    </xf>
    <xf numFmtId="0" fontId="0" fillId="3" borderId="2" xfId="0" applyFill="1" applyBorder="1" applyAlignment="1">
      <alignment horizontal="center"/>
    </xf>
    <xf numFmtId="0" fontId="0" fillId="3" borderId="3" xfId="0"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5" xfId="0" applyBorder="1" applyAlignment="1">
      <alignment horizontal="center" vertical="center"/>
    </xf>
    <xf numFmtId="0" fontId="0" fillId="0" borderId="3" xfId="0" applyBorder="1" applyAlignment="1">
      <alignment horizontal="center"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7" xfId="0" applyFill="1" applyBorder="1" applyAlignment="1">
      <alignment horizontal="center" vertical="center" wrapText="1"/>
    </xf>
    <xf numFmtId="0" fontId="0" fillId="3" borderId="6" xfId="0" applyFill="1" applyBorder="1" applyAlignment="1">
      <alignment horizontal="center" vertical="center" wrapText="1"/>
    </xf>
    <xf numFmtId="0" fontId="0" fillId="3" borderId="23"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center"/>
    </xf>
    <xf numFmtId="0" fontId="0" fillId="0" borderId="25" xfId="0" applyBorder="1" applyAlignment="1">
      <alignment horizontal="center"/>
    </xf>
    <xf numFmtId="0" fontId="0" fillId="0" borderId="3" xfId="0" applyBorder="1" applyAlignment="1">
      <alignment horizontal="center"/>
    </xf>
    <xf numFmtId="0" fontId="32" fillId="24" borderId="26" xfId="0" applyFont="1" applyFill="1" applyBorder="1" applyAlignment="1">
      <alignment horizontal="center" vertical="center"/>
    </xf>
    <xf numFmtId="0" fontId="32" fillId="24" borderId="27" xfId="0" applyFont="1" applyFill="1" applyBorder="1" applyAlignment="1">
      <alignment horizontal="center" vertical="center"/>
    </xf>
    <xf numFmtId="0" fontId="32" fillId="24" borderId="85" xfId="0" applyFont="1" applyFill="1" applyBorder="1" applyAlignment="1">
      <alignment horizontal="center" vertical="center"/>
    </xf>
    <xf numFmtId="0" fontId="32" fillId="24" borderId="86" xfId="0" applyFont="1" applyFill="1" applyBorder="1" applyAlignment="1">
      <alignment horizontal="center" vertical="center"/>
    </xf>
    <xf numFmtId="0" fontId="32" fillId="24" borderId="84" xfId="0" applyFont="1" applyFill="1" applyBorder="1" applyAlignment="1">
      <alignment horizontal="center" vertical="center"/>
    </xf>
    <xf numFmtId="0" fontId="32" fillId="24" borderId="87" xfId="0" applyFont="1" applyFill="1" applyBorder="1" applyAlignment="1">
      <alignment horizontal="center" vertical="center"/>
    </xf>
    <xf numFmtId="2" fontId="34" fillId="24" borderId="90" xfId="0" applyNumberFormat="1" applyFont="1" applyFill="1" applyBorder="1" applyAlignment="1" applyProtection="1">
      <alignment horizontal="right" vertical="center"/>
      <protection hidden="1"/>
    </xf>
    <xf numFmtId="2" fontId="34" fillId="24" borderId="83" xfId="0" applyNumberFormat="1" applyFont="1" applyFill="1" applyBorder="1" applyAlignment="1" applyProtection="1">
      <alignment horizontal="right" vertical="center"/>
      <protection hidden="1"/>
    </xf>
    <xf numFmtId="2" fontId="34" fillId="24" borderId="35" xfId="0" applyNumberFormat="1" applyFont="1" applyFill="1" applyBorder="1" applyAlignment="1" applyProtection="1">
      <alignment horizontal="right" vertical="center"/>
      <protection hidden="1"/>
    </xf>
    <xf numFmtId="2" fontId="34" fillId="24" borderId="88" xfId="0" applyNumberFormat="1" applyFont="1" applyFill="1" applyBorder="1" applyAlignment="1" applyProtection="1">
      <alignment horizontal="right" vertical="center"/>
      <protection hidden="1"/>
    </xf>
    <xf numFmtId="0" fontId="32" fillId="24" borderId="83" xfId="0" applyFont="1" applyFill="1" applyBorder="1" applyAlignment="1" applyProtection="1">
      <alignment horizontal="left" vertical="center"/>
      <protection hidden="1"/>
    </xf>
    <xf numFmtId="0" fontId="32" fillId="24" borderId="91" xfId="0" applyFont="1" applyFill="1" applyBorder="1" applyAlignment="1" applyProtection="1">
      <alignment horizontal="left" vertical="center"/>
      <protection hidden="1"/>
    </xf>
    <xf numFmtId="0" fontId="32" fillId="24" borderId="88" xfId="0" applyFont="1" applyFill="1" applyBorder="1" applyAlignment="1" applyProtection="1">
      <alignment horizontal="left" vertical="center"/>
      <protection hidden="1"/>
    </xf>
    <xf numFmtId="0" fontId="32" fillId="24" borderId="89" xfId="0" applyFont="1" applyFill="1" applyBorder="1" applyAlignment="1" applyProtection="1">
      <alignment horizontal="left" vertical="center"/>
      <protection hidden="1"/>
    </xf>
    <xf numFmtId="0" fontId="13" fillId="25" borderId="2" xfId="0" applyFont="1" applyFill="1" applyBorder="1" applyAlignment="1" applyProtection="1">
      <alignment horizontal="right"/>
      <protection hidden="1"/>
    </xf>
    <xf numFmtId="0" fontId="13" fillId="25" borderId="25" xfId="0" applyFont="1" applyFill="1" applyBorder="1" applyAlignment="1" applyProtection="1">
      <alignment horizontal="right"/>
      <protection hidden="1"/>
    </xf>
    <xf numFmtId="0" fontId="13" fillId="25" borderId="25" xfId="0" applyFont="1" applyFill="1" applyBorder="1" applyAlignment="1" applyProtection="1">
      <alignment horizontal="left"/>
      <protection hidden="1"/>
    </xf>
    <xf numFmtId="0" fontId="13" fillId="25" borderId="3" xfId="0" applyFont="1" applyFill="1" applyBorder="1" applyAlignment="1" applyProtection="1">
      <alignment horizontal="left"/>
      <protection hidden="1"/>
    </xf>
    <xf numFmtId="0" fontId="13" fillId="28" borderId="2" xfId="0" applyFont="1" applyFill="1" applyBorder="1" applyAlignment="1" applyProtection="1">
      <alignment horizontal="center" vertical="center"/>
      <protection hidden="1"/>
    </xf>
    <xf numFmtId="0" fontId="13" fillId="28" borderId="25" xfId="0" applyFont="1" applyFill="1" applyBorder="1" applyAlignment="1" applyProtection="1">
      <alignment horizontal="center" vertical="center"/>
      <protection hidden="1"/>
    </xf>
    <xf numFmtId="0" fontId="0" fillId="2" borderId="2" xfId="0" applyFill="1" applyBorder="1" applyAlignment="1" applyProtection="1">
      <alignment horizontal="right" vertical="center"/>
      <protection hidden="1"/>
    </xf>
    <xf numFmtId="0" fontId="0" fillId="2" borderId="25" xfId="0" applyFill="1" applyBorder="1" applyAlignment="1" applyProtection="1">
      <alignment horizontal="right" vertical="center"/>
      <protection hidden="1"/>
    </xf>
    <xf numFmtId="0" fontId="0" fillId="2" borderId="25" xfId="0" applyFill="1" applyBorder="1" applyAlignment="1" applyProtection="1">
      <alignment horizontal="left" vertical="center"/>
      <protection hidden="1"/>
    </xf>
    <xf numFmtId="0" fontId="0" fillId="2" borderId="3" xfId="0" applyFill="1" applyBorder="1" applyAlignment="1" applyProtection="1">
      <alignment horizontal="left" vertical="center"/>
      <protection hidden="1"/>
    </xf>
    <xf numFmtId="0" fontId="0" fillId="3" borderId="2" xfId="0" applyFill="1" applyBorder="1" applyAlignment="1" applyProtection="1">
      <alignment horizontal="right" vertical="center"/>
      <protection hidden="1"/>
    </xf>
    <xf numFmtId="0" fontId="0" fillId="3" borderId="25" xfId="0" applyFill="1" applyBorder="1" applyAlignment="1" applyProtection="1">
      <alignment horizontal="right" vertical="center"/>
      <protection hidden="1"/>
    </xf>
    <xf numFmtId="0" fontId="0" fillId="3" borderId="25" xfId="0" applyFill="1" applyBorder="1" applyAlignment="1" applyProtection="1">
      <alignment horizontal="left" vertical="center"/>
      <protection hidden="1"/>
    </xf>
    <xf numFmtId="0" fontId="0" fillId="3" borderId="3" xfId="0" applyFill="1" applyBorder="1" applyAlignment="1" applyProtection="1">
      <alignment horizontal="left" vertical="center"/>
      <protection hidden="1"/>
    </xf>
    <xf numFmtId="0" fontId="7" fillId="0" borderId="0" xfId="2" applyAlignment="1">
      <alignment horizontal="center"/>
    </xf>
    <xf numFmtId="0" fontId="0" fillId="5" borderId="2" xfId="0" applyFill="1" applyBorder="1" applyAlignment="1" applyProtection="1">
      <alignment horizontal="right" vertical="center"/>
      <protection hidden="1"/>
    </xf>
    <xf numFmtId="0" fontId="0" fillId="5" borderId="25" xfId="0" applyFill="1" applyBorder="1" applyAlignment="1" applyProtection="1">
      <alignment horizontal="right" vertical="center"/>
      <protection hidden="1"/>
    </xf>
    <xf numFmtId="0" fontId="1" fillId="0" borderId="44" xfId="0" applyFont="1" applyBorder="1" applyAlignment="1" applyProtection="1">
      <alignment horizontal="center"/>
      <protection hidden="1"/>
    </xf>
    <xf numFmtId="0" fontId="1" fillId="0" borderId="45" xfId="0" applyFont="1" applyBorder="1" applyAlignment="1" applyProtection="1">
      <alignment horizontal="center"/>
      <protection hidden="1"/>
    </xf>
    <xf numFmtId="0" fontId="1" fillId="0" borderId="46" xfId="0" applyFont="1" applyBorder="1" applyAlignment="1" applyProtection="1">
      <alignment horizontal="center"/>
      <protection hidden="1"/>
    </xf>
    <xf numFmtId="0" fontId="13" fillId="28" borderId="2" xfId="0" applyFont="1" applyFill="1" applyBorder="1" applyAlignment="1" applyProtection="1">
      <alignment horizontal="right" vertical="center"/>
      <protection hidden="1"/>
    </xf>
    <xf numFmtId="0" fontId="13" fillId="28" borderId="25" xfId="0" applyFont="1" applyFill="1" applyBorder="1" applyAlignment="1" applyProtection="1">
      <alignment horizontal="right" vertical="center"/>
      <protection hidden="1"/>
    </xf>
    <xf numFmtId="0" fontId="13" fillId="28" borderId="25" xfId="0" applyFont="1" applyFill="1" applyBorder="1" applyAlignment="1" applyProtection="1">
      <alignment horizontal="left" vertical="center"/>
      <protection hidden="1"/>
    </xf>
    <xf numFmtId="0" fontId="13" fillId="28" borderId="3" xfId="0" applyFont="1" applyFill="1" applyBorder="1" applyAlignment="1" applyProtection="1">
      <alignment horizontal="left" vertical="center"/>
      <protection hidden="1"/>
    </xf>
    <xf numFmtId="0" fontId="61" fillId="28" borderId="25" xfId="0" applyFont="1" applyFill="1" applyBorder="1" applyAlignment="1" applyProtection="1">
      <alignment horizontal="left" vertical="center"/>
      <protection hidden="1"/>
    </xf>
    <xf numFmtId="0" fontId="61" fillId="28" borderId="3" xfId="0" applyFont="1" applyFill="1" applyBorder="1" applyAlignment="1" applyProtection="1">
      <alignment horizontal="left" vertical="center"/>
      <protection hidden="1"/>
    </xf>
    <xf numFmtId="0" fontId="0" fillId="0" borderId="52" xfId="0" applyBorder="1" applyAlignment="1" applyProtection="1">
      <alignment horizontal="center"/>
      <protection hidden="1"/>
    </xf>
    <xf numFmtId="0" fontId="0" fillId="0" borderId="53" xfId="0" applyBorder="1" applyAlignment="1" applyProtection="1">
      <alignment horizontal="center"/>
      <protection hidden="1"/>
    </xf>
    <xf numFmtId="0" fontId="0" fillId="0" borderId="51" xfId="0" applyBorder="1" applyAlignment="1" applyProtection="1">
      <alignment horizontal="center"/>
      <protection hidden="1"/>
    </xf>
    <xf numFmtId="0" fontId="0" fillId="5" borderId="48" xfId="0" applyFill="1" applyBorder="1" applyAlignment="1" applyProtection="1">
      <alignment horizontal="right"/>
      <protection hidden="1"/>
    </xf>
    <xf numFmtId="0" fontId="0" fillId="19" borderId="31" xfId="0" applyFill="1" applyBorder="1" applyAlignment="1" applyProtection="1">
      <alignment horizontal="center" vertical="center" wrapText="1"/>
      <protection hidden="1"/>
    </xf>
    <xf numFmtId="0" fontId="0" fillId="19" borderId="9" xfId="0" applyFill="1" applyBorder="1" applyAlignment="1" applyProtection="1">
      <alignment horizontal="center" vertical="center" wrapText="1"/>
      <protection hidden="1"/>
    </xf>
    <xf numFmtId="0" fontId="0" fillId="19" borderId="8" xfId="0" applyFill="1" applyBorder="1" applyAlignment="1" applyProtection="1">
      <alignment horizontal="center" vertical="center" wrapText="1"/>
      <protection hidden="1"/>
    </xf>
    <xf numFmtId="0" fontId="32" fillId="24" borderId="26" xfId="0" applyFont="1" applyFill="1" applyBorder="1" applyAlignment="1" applyProtection="1">
      <alignment horizontal="center" vertical="center"/>
      <protection hidden="1"/>
    </xf>
    <xf numFmtId="0" fontId="32" fillId="24" borderId="27" xfId="0" applyFont="1" applyFill="1" applyBorder="1" applyAlignment="1" applyProtection="1">
      <alignment horizontal="center" vertical="center"/>
      <protection hidden="1"/>
    </xf>
    <xf numFmtId="0" fontId="32" fillId="24" borderId="13" xfId="0" applyFont="1" applyFill="1" applyBorder="1" applyAlignment="1" applyProtection="1">
      <alignment horizontal="center" vertical="center"/>
      <protection hidden="1"/>
    </xf>
    <xf numFmtId="0" fontId="32" fillId="24" borderId="86" xfId="0" applyFont="1" applyFill="1" applyBorder="1" applyAlignment="1" applyProtection="1">
      <alignment horizontal="center" vertical="center"/>
      <protection hidden="1"/>
    </xf>
    <xf numFmtId="0" fontId="32" fillId="24" borderId="84" xfId="0" applyFont="1" applyFill="1" applyBorder="1" applyAlignment="1" applyProtection="1">
      <alignment horizontal="center" vertical="center"/>
      <protection hidden="1"/>
    </xf>
    <xf numFmtId="0" fontId="32" fillId="24" borderId="103" xfId="0" applyFont="1" applyFill="1" applyBorder="1" applyAlignment="1" applyProtection="1">
      <alignment horizontal="center" vertical="center"/>
      <protection hidden="1"/>
    </xf>
    <xf numFmtId="2" fontId="34" fillId="24" borderId="29" xfId="0" applyNumberFormat="1" applyFont="1" applyFill="1" applyBorder="1" applyAlignment="1" applyProtection="1">
      <alignment horizontal="right" vertical="center"/>
      <protection hidden="1"/>
    </xf>
    <xf numFmtId="2" fontId="34" fillId="24" borderId="30" xfId="0" applyNumberFormat="1" applyFont="1" applyFill="1" applyBorder="1" applyAlignment="1" applyProtection="1">
      <alignment horizontal="right" vertical="center"/>
      <protection hidden="1"/>
    </xf>
    <xf numFmtId="0" fontId="32" fillId="24" borderId="101" xfId="0" applyFont="1" applyFill="1" applyBorder="1" applyAlignment="1" applyProtection="1">
      <alignment horizontal="left" vertical="center"/>
      <protection hidden="1"/>
    </xf>
    <xf numFmtId="0" fontId="32" fillId="24" borderId="30" xfId="0" applyFont="1" applyFill="1" applyBorder="1" applyAlignment="1" applyProtection="1">
      <alignment horizontal="left" vertical="center"/>
      <protection hidden="1"/>
    </xf>
    <xf numFmtId="0" fontId="32" fillId="24" borderId="21" xfId="0" applyFont="1" applyFill="1" applyBorder="1" applyAlignment="1" applyProtection="1">
      <alignment horizontal="left" vertical="center"/>
      <protection hidden="1"/>
    </xf>
    <xf numFmtId="0" fontId="1" fillId="0" borderId="102" xfId="0" applyFont="1" applyBorder="1" applyAlignment="1" applyProtection="1">
      <alignment horizontal="center"/>
      <protection hidden="1"/>
    </xf>
    <xf numFmtId="0" fontId="0" fillId="3" borderId="2" xfId="0" applyFill="1" applyBorder="1" applyAlignment="1" applyProtection="1">
      <alignment horizontal="center" vertical="center"/>
      <protection hidden="1"/>
    </xf>
    <xf numFmtId="0" fontId="0" fillId="3" borderId="1" xfId="0" applyFill="1" applyBorder="1" applyAlignment="1" applyProtection="1">
      <alignment horizontal="center" vertical="center"/>
      <protection hidden="1"/>
    </xf>
    <xf numFmtId="0" fontId="0" fillId="12" borderId="2" xfId="0" applyFill="1" applyBorder="1" applyAlignment="1" applyProtection="1">
      <alignment horizontal="center"/>
      <protection hidden="1"/>
    </xf>
    <xf numFmtId="0" fontId="0" fillId="12" borderId="1" xfId="0" applyFill="1" applyBorder="1" applyAlignment="1" applyProtection="1">
      <alignment horizontal="center"/>
      <protection hidden="1"/>
    </xf>
    <xf numFmtId="0" fontId="0" fillId="10" borderId="2" xfId="0" applyFill="1" applyBorder="1" applyAlignment="1" applyProtection="1">
      <alignment horizontal="center" vertical="center"/>
      <protection hidden="1"/>
    </xf>
    <xf numFmtId="0" fontId="0" fillId="10" borderId="1" xfId="0" applyFill="1" applyBorder="1" applyAlignment="1" applyProtection="1">
      <alignment horizontal="center" vertical="center"/>
      <protection hidden="1"/>
    </xf>
    <xf numFmtId="0" fontId="0" fillId="0" borderId="4" xfId="0" applyBorder="1" applyAlignment="1" applyProtection="1">
      <alignment horizontal="center" vertical="center"/>
      <protection hidden="1"/>
    </xf>
    <xf numFmtId="0" fontId="0" fillId="0" borderId="4" xfId="0" applyBorder="1" applyAlignment="1">
      <alignment horizontal="center" vertical="center"/>
    </xf>
    <xf numFmtId="0" fontId="0" fillId="10" borderId="4" xfId="0" applyFill="1" applyBorder="1" applyAlignment="1" applyProtection="1">
      <alignment horizontal="center" vertical="center"/>
      <protection hidden="1"/>
    </xf>
    <xf numFmtId="0" fontId="0" fillId="12" borderId="2" xfId="0" applyFill="1" applyBorder="1" applyAlignment="1">
      <alignment horizontal="center"/>
    </xf>
    <xf numFmtId="0" fontId="0" fillId="12" borderId="4" xfId="0" applyFill="1" applyBorder="1" applyAlignment="1">
      <alignment horizontal="center"/>
    </xf>
    <xf numFmtId="0" fontId="0" fillId="12" borderId="31" xfId="0" applyFill="1" applyBorder="1" applyAlignment="1">
      <alignment horizontal="center"/>
    </xf>
    <xf numFmtId="0" fontId="0" fillId="3" borderId="1" xfId="0" applyFill="1" applyBorder="1" applyAlignment="1" applyProtection="1">
      <alignment horizontal="center"/>
      <protection hidden="1"/>
    </xf>
    <xf numFmtId="0" fontId="0" fillId="3" borderId="3" xfId="0" applyFill="1" applyBorder="1" applyAlignment="1" applyProtection="1">
      <alignment horizontal="center"/>
      <protection hidden="1"/>
    </xf>
    <xf numFmtId="0" fontId="0" fillId="7" borderId="31" xfId="0" applyFill="1" applyBorder="1" applyAlignment="1" applyProtection="1">
      <alignment horizontal="center" vertical="center" wrapText="1"/>
      <protection hidden="1"/>
    </xf>
    <xf numFmtId="0" fontId="0" fillId="7" borderId="8" xfId="0" applyFill="1" applyBorder="1" applyAlignment="1" applyProtection="1">
      <alignment horizontal="center" vertical="center" wrapText="1"/>
      <protection hidden="1"/>
    </xf>
    <xf numFmtId="0" fontId="0" fillId="7" borderId="9" xfId="0" applyFill="1" applyBorder="1" applyAlignment="1" applyProtection="1">
      <alignment horizontal="center" vertical="center" wrapText="1"/>
      <protection hidden="1"/>
    </xf>
    <xf numFmtId="0" fontId="22" fillId="0" borderId="2" xfId="0" applyFont="1" applyBorder="1" applyAlignment="1">
      <alignment horizontal="center"/>
    </xf>
    <xf numFmtId="0" fontId="22" fillId="0" borderId="25" xfId="0" applyFont="1" applyBorder="1" applyAlignment="1">
      <alignment horizontal="center"/>
    </xf>
    <xf numFmtId="0" fontId="22" fillId="0" borderId="3" xfId="0" applyFont="1" applyBorder="1" applyAlignment="1">
      <alignment horizontal="center"/>
    </xf>
    <xf numFmtId="0" fontId="1" fillId="0" borderId="2" xfId="0" applyFont="1" applyBorder="1" applyAlignment="1">
      <alignment horizontal="center"/>
    </xf>
    <xf numFmtId="0" fontId="1" fillId="0" borderId="25" xfId="0" applyFont="1" applyBorder="1" applyAlignment="1">
      <alignment horizontal="center"/>
    </xf>
    <xf numFmtId="0" fontId="1" fillId="0" borderId="3" xfId="0" applyFont="1" applyBorder="1" applyAlignment="1">
      <alignment horizontal="center"/>
    </xf>
    <xf numFmtId="0" fontId="0" fillId="3" borderId="25" xfId="0" applyFill="1" applyBorder="1" applyAlignment="1">
      <alignment horizontal="right"/>
    </xf>
    <xf numFmtId="0" fontId="0" fillId="3" borderId="1" xfId="0" applyFill="1" applyBorder="1" applyAlignment="1">
      <alignment horizontal="left"/>
    </xf>
    <xf numFmtId="9" fontId="0" fillId="3" borderId="25" xfId="0" applyNumberFormat="1" applyFill="1" applyBorder="1" applyAlignment="1">
      <alignment horizontal="left"/>
    </xf>
    <xf numFmtId="9" fontId="0" fillId="3" borderId="3" xfId="0" applyNumberFormat="1" applyFill="1" applyBorder="1" applyAlignment="1">
      <alignment horizontal="left"/>
    </xf>
    <xf numFmtId="9" fontId="0" fillId="2" borderId="25" xfId="0" applyNumberFormat="1" applyFill="1" applyBorder="1" applyAlignment="1" applyProtection="1">
      <alignment horizontal="left"/>
      <protection locked="0" hidden="1"/>
    </xf>
    <xf numFmtId="9" fontId="0" fillId="2" borderId="3" xfId="0" applyNumberFormat="1" applyFill="1" applyBorder="1" applyAlignment="1" applyProtection="1">
      <alignment horizontal="left"/>
      <protection locked="0" hidden="1"/>
    </xf>
    <xf numFmtId="0" fontId="0" fillId="2" borderId="4" xfId="0" applyFill="1" applyBorder="1" applyAlignment="1" applyProtection="1">
      <alignment horizontal="right" vertical="top"/>
      <protection locked="0" hidden="1"/>
    </xf>
    <xf numFmtId="0" fontId="0" fillId="2" borderId="22" xfId="0" applyFill="1" applyBorder="1" applyAlignment="1" applyProtection="1">
      <alignment horizontal="right" vertical="top"/>
      <protection locked="0" hidden="1"/>
    </xf>
    <xf numFmtId="0" fontId="0" fillId="2" borderId="23" xfId="0" applyFill="1" applyBorder="1" applyAlignment="1" applyProtection="1">
      <alignment horizontal="right" vertical="top"/>
      <protection locked="0" hidden="1"/>
    </xf>
    <xf numFmtId="0" fontId="0" fillId="2" borderId="24" xfId="0" applyFill="1" applyBorder="1" applyAlignment="1" applyProtection="1">
      <alignment horizontal="right" vertical="top"/>
      <protection locked="0" hidden="1"/>
    </xf>
    <xf numFmtId="0" fontId="0" fillId="3" borderId="2" xfId="0" applyFill="1" applyBorder="1" applyAlignment="1">
      <alignment horizontal="left"/>
    </xf>
    <xf numFmtId="0" fontId="22" fillId="0" borderId="4" xfId="0" applyFont="1" applyBorder="1" applyAlignment="1">
      <alignment horizontal="center" wrapText="1"/>
    </xf>
    <xf numFmtId="0" fontId="22" fillId="0" borderId="22" xfId="0" applyFont="1" applyBorder="1" applyAlignment="1">
      <alignment horizontal="center" wrapText="1"/>
    </xf>
    <xf numFmtId="0" fontId="22" fillId="0" borderId="5" xfId="0" applyFont="1" applyBorder="1" applyAlignment="1">
      <alignment horizontal="center" wrapText="1"/>
    </xf>
    <xf numFmtId="0" fontId="22" fillId="0" borderId="23" xfId="0" applyFont="1" applyBorder="1" applyAlignment="1">
      <alignment horizontal="center" wrapText="1"/>
    </xf>
    <xf numFmtId="0" fontId="22" fillId="0" borderId="24" xfId="0" applyFont="1" applyBorder="1" applyAlignment="1">
      <alignment horizontal="center" wrapText="1"/>
    </xf>
    <xf numFmtId="0" fontId="22" fillId="0" borderId="7" xfId="0" applyFont="1" applyBorder="1" applyAlignment="1">
      <alignment horizontal="center" wrapText="1"/>
    </xf>
    <xf numFmtId="2" fontId="0" fillId="5" borderId="2" xfId="0" applyNumberFormat="1" applyFill="1" applyBorder="1" applyAlignment="1" applyProtection="1">
      <alignment horizontal="right"/>
      <protection hidden="1"/>
    </xf>
    <xf numFmtId="2" fontId="0" fillId="5" borderId="25" xfId="0" applyNumberFormat="1" applyFill="1" applyBorder="1" applyAlignment="1" applyProtection="1">
      <alignment horizontal="right"/>
      <protection hidden="1"/>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2" fontId="0" fillId="13" borderId="2" xfId="0" applyNumberFormat="1" applyFill="1" applyBorder="1" applyAlignment="1" applyProtection="1">
      <alignment horizontal="right"/>
      <protection hidden="1"/>
    </xf>
    <xf numFmtId="2" fontId="0" fillId="13" borderId="25" xfId="0" applyNumberFormat="1" applyFill="1" applyBorder="1" applyAlignment="1" applyProtection="1">
      <alignment horizontal="right"/>
      <protection hidden="1"/>
    </xf>
    <xf numFmtId="0" fontId="1" fillId="0" borderId="2" xfId="0" applyFont="1" applyBorder="1" applyAlignment="1" applyProtection="1">
      <alignment horizontal="center"/>
      <protection hidden="1"/>
    </xf>
    <xf numFmtId="0" fontId="1" fillId="0" borderId="25" xfId="0" applyFont="1" applyBorder="1" applyAlignment="1" applyProtection="1">
      <alignment horizontal="center"/>
      <protection hidden="1"/>
    </xf>
    <xf numFmtId="0" fontId="1" fillId="0" borderId="3" xfId="0" applyFont="1" applyBorder="1" applyAlignment="1" applyProtection="1">
      <alignment horizontal="center"/>
      <protection hidden="1"/>
    </xf>
    <xf numFmtId="9" fontId="0" fillId="3" borderId="25" xfId="0" applyNumberFormat="1" applyFill="1" applyBorder="1" applyAlignment="1" applyProtection="1">
      <alignment horizontal="left"/>
      <protection hidden="1"/>
    </xf>
    <xf numFmtId="0" fontId="0" fillId="3" borderId="3" xfId="0" applyFill="1" applyBorder="1" applyAlignment="1" applyProtection="1">
      <alignment horizontal="left"/>
      <protection locked="0" hidden="1"/>
    </xf>
    <xf numFmtId="0" fontId="0" fillId="3" borderId="1" xfId="0" applyFill="1" applyBorder="1" applyAlignment="1" applyProtection="1">
      <alignment horizontal="left"/>
      <protection locked="0" hidden="1"/>
    </xf>
    <xf numFmtId="0" fontId="16" fillId="16" borderId="26" xfId="0" applyFont="1" applyFill="1" applyBorder="1" applyAlignment="1" applyProtection="1">
      <alignment horizontal="center" vertical="center"/>
      <protection locked="0" hidden="1"/>
    </xf>
    <xf numFmtId="0" fontId="16" fillId="16" borderId="27" xfId="0" applyFont="1" applyFill="1" applyBorder="1" applyAlignment="1" applyProtection="1">
      <alignment horizontal="center" vertical="center"/>
      <protection locked="0" hidden="1"/>
    </xf>
    <xf numFmtId="0" fontId="16" fillId="16" borderId="13" xfId="0" applyFont="1" applyFill="1" applyBorder="1" applyAlignment="1" applyProtection="1">
      <alignment horizontal="center" vertical="center"/>
      <protection locked="0" hidden="1"/>
    </xf>
    <xf numFmtId="0" fontId="16" fillId="16" borderId="43" xfId="0" applyFont="1" applyFill="1" applyBorder="1" applyAlignment="1" applyProtection="1">
      <alignment horizontal="center" vertical="center"/>
      <protection locked="0" hidden="1"/>
    </xf>
    <xf numFmtId="0" fontId="16" fillId="16" borderId="24" xfId="0" applyFont="1" applyFill="1" applyBorder="1" applyAlignment="1" applyProtection="1">
      <alignment horizontal="center" vertical="center"/>
      <protection locked="0" hidden="1"/>
    </xf>
    <xf numFmtId="0" fontId="16" fillId="16" borderId="15" xfId="0" applyFont="1" applyFill="1" applyBorder="1" applyAlignment="1" applyProtection="1">
      <alignment horizontal="center" vertical="center"/>
      <protection locked="0" hidden="1"/>
    </xf>
    <xf numFmtId="2" fontId="15" fillId="16" borderId="28" xfId="0" applyNumberFormat="1" applyFont="1" applyFill="1" applyBorder="1" applyAlignment="1" applyProtection="1">
      <alignment horizontal="right" vertical="center"/>
      <protection locked="0" hidden="1"/>
    </xf>
    <xf numFmtId="2" fontId="15" fillId="16" borderId="0" xfId="0" applyNumberFormat="1" applyFont="1" applyFill="1" applyAlignment="1" applyProtection="1">
      <alignment horizontal="right" vertical="center"/>
      <protection locked="0" hidden="1"/>
    </xf>
    <xf numFmtId="2" fontId="15" fillId="16" borderId="29" xfId="0" applyNumberFormat="1" applyFont="1" applyFill="1" applyBorder="1" applyAlignment="1" applyProtection="1">
      <alignment horizontal="right" vertical="center"/>
      <protection locked="0" hidden="1"/>
    </xf>
    <xf numFmtId="2" fontId="15" fillId="16" borderId="30" xfId="0" applyNumberFormat="1" applyFont="1" applyFill="1" applyBorder="1" applyAlignment="1" applyProtection="1">
      <alignment horizontal="right" vertical="center"/>
      <protection locked="0" hidden="1"/>
    </xf>
    <xf numFmtId="0" fontId="16" fillId="16" borderId="0" xfId="0" applyFont="1" applyFill="1" applyAlignment="1" applyProtection="1">
      <alignment horizontal="left" vertical="center"/>
      <protection locked="0" hidden="1"/>
    </xf>
    <xf numFmtId="0" fontId="16" fillId="16" borderId="17" xfId="0" applyFont="1" applyFill="1" applyBorder="1" applyAlignment="1" applyProtection="1">
      <alignment horizontal="left" vertical="center"/>
      <protection locked="0" hidden="1"/>
    </xf>
    <xf numFmtId="0" fontId="16" fillId="16" borderId="30" xfId="0" applyFont="1" applyFill="1" applyBorder="1" applyAlignment="1" applyProtection="1">
      <alignment horizontal="left" vertical="center"/>
      <protection locked="0" hidden="1"/>
    </xf>
    <xf numFmtId="0" fontId="16" fillId="16" borderId="21" xfId="0" applyFont="1" applyFill="1" applyBorder="1" applyAlignment="1" applyProtection="1">
      <alignment horizontal="left" vertical="center"/>
      <protection locked="0" hidden="1"/>
    </xf>
    <xf numFmtId="0" fontId="0" fillId="3" borderId="25" xfId="0" applyFill="1" applyBorder="1" applyAlignment="1" applyProtection="1">
      <alignment horizontal="left"/>
      <protection locked="0" hidden="1"/>
    </xf>
    <xf numFmtId="0" fontId="1" fillId="4" borderId="2" xfId="0" applyFont="1" applyFill="1" applyBorder="1" applyAlignment="1">
      <alignment horizontal="center"/>
    </xf>
    <xf numFmtId="0" fontId="1" fillId="4" borderId="25" xfId="0" applyFont="1" applyFill="1" applyBorder="1" applyAlignment="1">
      <alignment horizontal="center"/>
    </xf>
    <xf numFmtId="0" fontId="1" fillId="4" borderId="3" xfId="0" applyFont="1" applyFill="1" applyBorder="1" applyAlignment="1">
      <alignment horizontal="center"/>
    </xf>
    <xf numFmtId="0" fontId="0" fillId="0" borderId="2" xfId="0" applyBorder="1" applyAlignment="1" applyProtection="1">
      <alignment horizontal="left"/>
      <protection locked="0" hidden="1"/>
    </xf>
    <xf numFmtId="0" fontId="0" fillId="0" borderId="3" xfId="0" applyBorder="1" applyAlignment="1" applyProtection="1">
      <alignment horizontal="left"/>
      <protection locked="0" hidden="1"/>
    </xf>
    <xf numFmtId="2" fontId="0" fillId="5" borderId="2" xfId="0" applyNumberFormat="1" applyFill="1" applyBorder="1" applyAlignment="1" applyProtection="1">
      <alignment horizontal="right"/>
      <protection locked="0" hidden="1"/>
    </xf>
    <xf numFmtId="2" fontId="0" fillId="5" borderId="25" xfId="0" applyNumberFormat="1" applyFill="1" applyBorder="1" applyAlignment="1" applyProtection="1">
      <alignment horizontal="right"/>
      <protection locked="0" hidden="1"/>
    </xf>
    <xf numFmtId="1" fontId="0" fillId="5" borderId="2" xfId="0" applyNumberFormat="1" applyFill="1" applyBorder="1" applyAlignment="1" applyProtection="1">
      <alignment horizontal="right"/>
      <protection locked="0" hidden="1"/>
    </xf>
    <xf numFmtId="1" fontId="0" fillId="5" borderId="25" xfId="0" applyNumberFormat="1" applyFill="1" applyBorder="1" applyAlignment="1" applyProtection="1">
      <alignment horizontal="right"/>
      <protection locked="0" hidden="1"/>
    </xf>
    <xf numFmtId="171" fontId="0" fillId="5" borderId="2" xfId="0" applyNumberFormat="1" applyFill="1" applyBorder="1" applyAlignment="1" applyProtection="1">
      <alignment horizontal="right"/>
      <protection locked="0" hidden="1"/>
    </xf>
    <xf numFmtId="171" fontId="0" fillId="5" borderId="25" xfId="0" applyNumberFormat="1" applyFill="1" applyBorder="1" applyAlignment="1" applyProtection="1">
      <alignment horizontal="right"/>
      <protection locked="0" hidden="1"/>
    </xf>
    <xf numFmtId="2" fontId="0" fillId="13" borderId="2" xfId="0" applyNumberFormat="1" applyFill="1" applyBorder="1" applyAlignment="1" applyProtection="1">
      <alignment horizontal="right"/>
      <protection locked="0" hidden="1"/>
    </xf>
    <xf numFmtId="2" fontId="0" fillId="13" borderId="25" xfId="0" applyNumberFormat="1" applyFill="1" applyBorder="1" applyAlignment="1" applyProtection="1">
      <alignment horizontal="right"/>
      <protection locked="0" hidden="1"/>
    </xf>
    <xf numFmtId="0" fontId="0" fillId="2" borderId="3" xfId="0" applyFill="1" applyBorder="1" applyAlignment="1" applyProtection="1">
      <alignment horizontal="left"/>
      <protection locked="0" hidden="1"/>
    </xf>
    <xf numFmtId="0" fontId="0" fillId="2" borderId="1" xfId="0" applyFill="1" applyBorder="1" applyAlignment="1" applyProtection="1">
      <alignment horizontal="left"/>
      <protection locked="0" hidden="1"/>
    </xf>
    <xf numFmtId="0" fontId="0" fillId="2" borderId="1" xfId="0" applyFill="1" applyBorder="1" applyAlignment="1" applyProtection="1">
      <alignment horizontal="right"/>
      <protection locked="0" hidden="1"/>
    </xf>
    <xf numFmtId="0" fontId="0" fillId="2" borderId="2" xfId="0" applyFill="1" applyBorder="1" applyAlignment="1" applyProtection="1">
      <alignment horizontal="right"/>
      <protection locked="0" hidden="1"/>
    </xf>
    <xf numFmtId="1" fontId="0" fillId="5" borderId="2" xfId="0" applyNumberFormat="1" applyFill="1" applyBorder="1" applyAlignment="1" applyProtection="1">
      <alignment horizontal="right"/>
      <protection hidden="1"/>
    </xf>
    <xf numFmtId="1" fontId="0" fillId="5" borderId="25" xfId="0" applyNumberFormat="1" applyFill="1"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2"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3" xfId="0" applyBorder="1" applyAlignment="1" applyProtection="1">
      <alignment horizontal="center" vertical="center"/>
      <protection hidden="1"/>
    </xf>
    <xf numFmtId="0" fontId="0" fillId="0" borderId="0" xfId="0" applyAlignment="1">
      <alignment horizontal="center"/>
    </xf>
    <xf numFmtId="0" fontId="1" fillId="4" borderId="44" xfId="0" applyFont="1" applyFill="1" applyBorder="1" applyAlignment="1" applyProtection="1">
      <alignment horizontal="center"/>
      <protection hidden="1"/>
    </xf>
    <xf numFmtId="0" fontId="1" fillId="4" borderId="45" xfId="0" applyFont="1" applyFill="1" applyBorder="1" applyAlignment="1" applyProtection="1">
      <alignment horizontal="center"/>
      <protection hidden="1"/>
    </xf>
    <xf numFmtId="0" fontId="1" fillId="4" borderId="46" xfId="0" applyFont="1" applyFill="1" applyBorder="1" applyAlignment="1" applyProtection="1">
      <alignment horizontal="center"/>
      <protection hidden="1"/>
    </xf>
    <xf numFmtId="0" fontId="0" fillId="19" borderId="1" xfId="0" applyFill="1" applyBorder="1" applyAlignment="1" applyProtection="1">
      <alignment horizontal="center" vertical="center" wrapText="1"/>
      <protection hidden="1"/>
    </xf>
    <xf numFmtId="0" fontId="0" fillId="0" borderId="93" xfId="0" applyBorder="1" applyAlignment="1" applyProtection="1">
      <alignment horizontal="center"/>
      <protection hidden="1"/>
    </xf>
    <xf numFmtId="0" fontId="32" fillId="24" borderId="85" xfId="0" applyFont="1" applyFill="1" applyBorder="1" applyAlignment="1" applyProtection="1">
      <alignment horizontal="center" vertical="center"/>
      <protection hidden="1"/>
    </xf>
    <xf numFmtId="0" fontId="32" fillId="24" borderId="87" xfId="0" applyFont="1" applyFill="1" applyBorder="1" applyAlignment="1" applyProtection="1">
      <alignment horizontal="center" vertical="center"/>
      <protection hidden="1"/>
    </xf>
    <xf numFmtId="171" fontId="34" fillId="24" borderId="90" xfId="0" applyNumberFormat="1" applyFont="1" applyFill="1" applyBorder="1" applyAlignment="1" applyProtection="1">
      <alignment horizontal="right" vertical="center"/>
      <protection hidden="1"/>
    </xf>
    <xf numFmtId="171" fontId="34" fillId="24" borderId="83" xfId="0" applyNumberFormat="1" applyFont="1" applyFill="1" applyBorder="1" applyAlignment="1" applyProtection="1">
      <alignment horizontal="right" vertical="center"/>
      <protection hidden="1"/>
    </xf>
    <xf numFmtId="171" fontId="34" fillId="24" borderId="35" xfId="0" applyNumberFormat="1" applyFont="1" applyFill="1" applyBorder="1" applyAlignment="1" applyProtection="1">
      <alignment horizontal="right" vertical="center"/>
      <protection hidden="1"/>
    </xf>
    <xf numFmtId="171" fontId="34" fillId="24" borderId="88" xfId="0" applyNumberFormat="1" applyFont="1" applyFill="1" applyBorder="1" applyAlignment="1" applyProtection="1">
      <alignment horizontal="right" vertical="center"/>
      <protection hidden="1"/>
    </xf>
    <xf numFmtId="0" fontId="13" fillId="18" borderId="2" xfId="0" applyFont="1" applyFill="1" applyBorder="1" applyAlignment="1">
      <alignment horizontal="right"/>
    </xf>
    <xf numFmtId="0" fontId="13" fillId="18" borderId="25" xfId="0" applyFont="1" applyFill="1" applyBorder="1" applyAlignment="1">
      <alignment horizontal="right"/>
    </xf>
    <xf numFmtId="0" fontId="13" fillId="18" borderId="25" xfId="0" applyFont="1" applyFill="1" applyBorder="1" applyAlignment="1">
      <alignment horizontal="left"/>
    </xf>
    <xf numFmtId="0" fontId="13" fillId="18" borderId="3" xfId="0" applyFont="1" applyFill="1" applyBorder="1" applyAlignment="1">
      <alignment horizontal="left"/>
    </xf>
    <xf numFmtId="0" fontId="0" fillId="0" borderId="10" xfId="0" applyBorder="1" applyAlignment="1" applyProtection="1">
      <alignment horizontal="center"/>
      <protection hidden="1"/>
    </xf>
    <xf numFmtId="0" fontId="0" fillId="0" borderId="16" xfId="0" applyBorder="1" applyAlignment="1" applyProtection="1">
      <alignment horizontal="center"/>
      <protection hidden="1"/>
    </xf>
    <xf numFmtId="0" fontId="0" fillId="0" borderId="14" xfId="0" applyBorder="1" applyAlignment="1" applyProtection="1">
      <alignment horizontal="center"/>
      <protection hidden="1"/>
    </xf>
    <xf numFmtId="0" fontId="13" fillId="18" borderId="25" xfId="0" applyFont="1" applyFill="1" applyBorder="1" applyAlignment="1">
      <alignment horizontal="left" vertical="center"/>
    </xf>
    <xf numFmtId="0" fontId="13" fillId="18" borderId="3" xfId="0" applyFont="1" applyFill="1" applyBorder="1" applyAlignment="1">
      <alignment horizontal="left" vertical="center"/>
    </xf>
    <xf numFmtId="0" fontId="13" fillId="18" borderId="2" xfId="0" applyFont="1" applyFill="1" applyBorder="1" applyAlignment="1">
      <alignment horizontal="right" vertical="center"/>
    </xf>
    <xf numFmtId="0" fontId="13" fillId="18" borderId="25" xfId="0" applyFont="1" applyFill="1" applyBorder="1" applyAlignment="1">
      <alignment horizontal="right" vertical="center"/>
    </xf>
    <xf numFmtId="0" fontId="0" fillId="12" borderId="25" xfId="0" applyFill="1" applyBorder="1" applyAlignment="1" applyProtection="1">
      <alignment horizontal="center"/>
      <protection hidden="1"/>
    </xf>
    <xf numFmtId="0" fontId="0" fillId="12" borderId="3" xfId="0" applyFill="1" applyBorder="1" applyAlignment="1" applyProtection="1">
      <alignment horizontal="center"/>
      <protection hidden="1"/>
    </xf>
    <xf numFmtId="0" fontId="0" fillId="3" borderId="2" xfId="0" applyFill="1" applyBorder="1" applyAlignment="1" applyProtection="1">
      <alignment horizontal="center"/>
      <protection hidden="1"/>
    </xf>
    <xf numFmtId="0" fontId="0" fillId="12" borderId="1" xfId="0" applyFill="1" applyBorder="1" applyAlignment="1">
      <alignment horizontal="center"/>
    </xf>
    <xf numFmtId="0" fontId="0" fillId="0" borderId="6" xfId="0" applyBorder="1" applyAlignment="1">
      <alignment horizontal="center"/>
    </xf>
    <xf numFmtId="0" fontId="0" fillId="2" borderId="28" xfId="0" applyFill="1" applyBorder="1" applyAlignment="1" applyProtection="1">
      <alignment horizontal="center"/>
      <protection hidden="1"/>
    </xf>
    <xf numFmtId="0" fontId="0" fillId="2" borderId="0" xfId="0" applyFill="1" applyAlignment="1" applyProtection="1">
      <alignment horizontal="center"/>
      <protection hidden="1"/>
    </xf>
    <xf numFmtId="0" fontId="0" fillId="2" borderId="17" xfId="0" applyFill="1" applyBorder="1" applyAlignment="1" applyProtection="1">
      <alignment horizontal="center"/>
      <protection hidden="1"/>
    </xf>
    <xf numFmtId="0" fontId="0" fillId="2" borderId="29" xfId="0" applyFill="1" applyBorder="1" applyAlignment="1" applyProtection="1">
      <alignment horizontal="center"/>
      <protection hidden="1"/>
    </xf>
    <xf numFmtId="0" fontId="0" fillId="2" borderId="30" xfId="0" applyFill="1" applyBorder="1" applyAlignment="1" applyProtection="1">
      <alignment horizontal="center"/>
      <protection hidden="1"/>
    </xf>
    <xf numFmtId="0" fontId="0" fillId="2" borderId="21" xfId="0" applyFill="1" applyBorder="1" applyAlignment="1" applyProtection="1">
      <alignment horizontal="center"/>
      <protection hidden="1"/>
    </xf>
    <xf numFmtId="0" fontId="1" fillId="16" borderId="52" xfId="0" applyFont="1" applyFill="1" applyBorder="1" applyAlignment="1" applyProtection="1">
      <alignment horizontal="center"/>
      <protection hidden="1"/>
    </xf>
    <xf numFmtId="0" fontId="1" fillId="16" borderId="53" xfId="0" applyFont="1" applyFill="1" applyBorder="1" applyAlignment="1" applyProtection="1">
      <alignment horizontal="center"/>
      <protection hidden="1"/>
    </xf>
    <xf numFmtId="0" fontId="1" fillId="16" borderId="51" xfId="0" applyFont="1" applyFill="1" applyBorder="1" applyAlignment="1" applyProtection="1">
      <alignment horizontal="center"/>
      <protection hidden="1"/>
    </xf>
    <xf numFmtId="0" fontId="0" fillId="7" borderId="48" xfId="0" applyFill="1" applyBorder="1" applyAlignment="1" applyProtection="1">
      <alignment horizontal="center"/>
      <protection hidden="1"/>
    </xf>
    <xf numFmtId="0" fontId="0" fillId="7" borderId="25" xfId="0" applyFill="1" applyBorder="1" applyAlignment="1" applyProtection="1">
      <alignment horizontal="center"/>
      <protection hidden="1"/>
    </xf>
    <xf numFmtId="0" fontId="0" fillId="7" borderId="47" xfId="0" applyFill="1" applyBorder="1" applyAlignment="1" applyProtection="1">
      <alignment horizontal="center"/>
      <protection hidden="1"/>
    </xf>
    <xf numFmtId="0" fontId="0" fillId="7" borderId="50" xfId="0" applyFill="1" applyBorder="1" applyAlignment="1" applyProtection="1">
      <alignment horizontal="center"/>
      <protection hidden="1"/>
    </xf>
    <xf numFmtId="0" fontId="0" fillId="7" borderId="22" xfId="0" applyFill="1" applyBorder="1" applyAlignment="1" applyProtection="1">
      <alignment horizontal="center"/>
      <protection hidden="1"/>
    </xf>
    <xf numFmtId="0" fontId="0" fillId="7" borderId="63" xfId="0" applyFill="1" applyBorder="1" applyAlignment="1" applyProtection="1">
      <alignment horizontal="center"/>
      <protection hidden="1"/>
    </xf>
    <xf numFmtId="0" fontId="7" fillId="7" borderId="43" xfId="2" applyFill="1" applyBorder="1" applyAlignment="1">
      <alignment horizontal="center"/>
    </xf>
    <xf numFmtId="0" fontId="7" fillId="7" borderId="24" xfId="2" applyFill="1" applyBorder="1" applyAlignment="1">
      <alignment horizontal="center"/>
    </xf>
    <xf numFmtId="0" fontId="7" fillId="7" borderId="15" xfId="2" applyFill="1" applyBorder="1" applyAlignment="1">
      <alignment horizontal="center"/>
    </xf>
    <xf numFmtId="0" fontId="0" fillId="2" borderId="48" xfId="0" applyFill="1" applyBorder="1" applyAlignment="1" applyProtection="1">
      <alignment horizontal="center"/>
      <protection hidden="1"/>
    </xf>
    <xf numFmtId="0" fontId="0" fillId="2" borderId="25" xfId="0" applyFill="1" applyBorder="1" applyAlignment="1" applyProtection="1">
      <alignment horizontal="center"/>
      <protection hidden="1"/>
    </xf>
    <xf numFmtId="0" fontId="0" fillId="2" borderId="47" xfId="0" applyFill="1" applyBorder="1" applyAlignment="1" applyProtection="1">
      <alignment horizontal="center"/>
      <protection hidden="1"/>
    </xf>
    <xf numFmtId="0" fontId="0" fillId="2" borderId="43" xfId="0" applyFill="1" applyBorder="1" applyAlignment="1" applyProtection="1">
      <alignment horizontal="center"/>
      <protection hidden="1"/>
    </xf>
    <xf numFmtId="0" fontId="0" fillId="2" borderId="24" xfId="0" applyFill="1" applyBorder="1" applyAlignment="1" applyProtection="1">
      <alignment horizontal="center"/>
      <protection hidden="1"/>
    </xf>
    <xf numFmtId="0" fontId="0" fillId="2" borderId="15" xfId="0" applyFill="1" applyBorder="1" applyAlignment="1" applyProtection="1">
      <alignment horizontal="center"/>
      <protection hidden="1"/>
    </xf>
    <xf numFmtId="0" fontId="13" fillId="17" borderId="0" xfId="0" applyFont="1" applyFill="1" applyAlignment="1" applyProtection="1">
      <alignment horizontal="center" vertical="center"/>
      <protection hidden="1"/>
    </xf>
    <xf numFmtId="0" fontId="13" fillId="17" borderId="17" xfId="0" applyFont="1" applyFill="1" applyBorder="1" applyAlignment="1" applyProtection="1">
      <alignment horizontal="center" vertical="center"/>
      <protection hidden="1"/>
    </xf>
    <xf numFmtId="0" fontId="44" fillId="4" borderId="2" xfId="0" applyFont="1" applyFill="1" applyBorder="1" applyAlignment="1" applyProtection="1">
      <alignment horizontal="center"/>
      <protection hidden="1"/>
    </xf>
    <xf numFmtId="0" fontId="44" fillId="4" borderId="25" xfId="0" applyFont="1" applyFill="1" applyBorder="1" applyAlignment="1" applyProtection="1">
      <alignment horizontal="center"/>
      <protection hidden="1"/>
    </xf>
    <xf numFmtId="0" fontId="44" fillId="4" borderId="3" xfId="0" applyFont="1" applyFill="1" applyBorder="1" applyAlignment="1" applyProtection="1">
      <alignment horizontal="center"/>
      <protection hidden="1"/>
    </xf>
    <xf numFmtId="0" fontId="12" fillId="0" borderId="37" xfId="0" applyFont="1" applyBorder="1" applyAlignment="1" applyProtection="1">
      <alignment horizontal="center" vertical="center" wrapText="1"/>
      <protection hidden="1"/>
    </xf>
    <xf numFmtId="0" fontId="12" fillId="0" borderId="23" xfId="0" applyFont="1" applyBorder="1" applyAlignment="1" applyProtection="1">
      <alignment horizontal="center" vertical="center" wrapText="1"/>
      <protection hidden="1"/>
    </xf>
    <xf numFmtId="0" fontId="12" fillId="17" borderId="26" xfId="0" applyFont="1" applyFill="1" applyBorder="1" applyAlignment="1" applyProtection="1">
      <alignment horizontal="right" vertical="center"/>
      <protection hidden="1"/>
    </xf>
    <xf numFmtId="0" fontId="12" fillId="17" borderId="28" xfId="0" applyFont="1" applyFill="1" applyBorder="1" applyAlignment="1" applyProtection="1">
      <alignment horizontal="right" vertical="center"/>
      <protection hidden="1"/>
    </xf>
    <xf numFmtId="0" fontId="12" fillId="17" borderId="35" xfId="0" applyFont="1" applyFill="1" applyBorder="1" applyAlignment="1" applyProtection="1">
      <alignment horizontal="right" vertical="center"/>
      <protection hidden="1"/>
    </xf>
    <xf numFmtId="0" fontId="13" fillId="17" borderId="36" xfId="0" applyFont="1" applyFill="1" applyBorder="1" applyAlignment="1" applyProtection="1">
      <alignment horizontal="center" vertical="center"/>
      <protection hidden="1"/>
    </xf>
    <xf numFmtId="0" fontId="12" fillId="17" borderId="29" xfId="0" applyFont="1" applyFill="1" applyBorder="1" applyAlignment="1" applyProtection="1">
      <alignment horizontal="right" vertical="center"/>
      <protection hidden="1"/>
    </xf>
  </cellXfs>
  <cellStyles count="4">
    <cellStyle name="Currency" xfId="3" builtinId="4"/>
    <cellStyle name="Hyperlink" xfId="2" builtinId="8"/>
    <cellStyle name="Normal" xfId="0" builtinId="0"/>
    <cellStyle name="Per cent" xfId="1" builtinId="5"/>
  </cellStyles>
  <dxfs count="348">
    <dxf>
      <protection locked="1" hidden="1"/>
    </dxf>
    <dxf>
      <protection locked="1" hidden="1"/>
    </dxf>
    <dxf>
      <protection locked="1" hidden="1"/>
    </dxf>
    <dxf>
      <font>
        <b val="0"/>
        <i val="0"/>
        <strike val="0"/>
        <condense val="0"/>
        <extend val="0"/>
        <outline val="0"/>
        <shadow val="0"/>
        <u val="none"/>
        <vertAlign val="baseline"/>
        <sz val="12"/>
        <color theme="1"/>
        <name val="Calibri"/>
        <family val="2"/>
        <scheme val="minor"/>
      </font>
      <border diagonalUp="0" diagonalDown="0">
        <left/>
        <right/>
        <top style="thin">
          <color indexed="64"/>
        </top>
        <bottom style="thin">
          <color indexed="64"/>
        </bottom>
        <vertical/>
        <horizontal/>
      </border>
      <protection locked="1" hidden="1"/>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protection locked="1" hidden="1"/>
    </dxf>
    <dxf>
      <border outline="0">
        <bottom style="thin">
          <color indexed="64"/>
        </bottom>
      </border>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protection locked="1" hidden="1"/>
    </dxf>
    <dxf>
      <font>
        <b/>
      </font>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font>
        <b val="0"/>
        <i val="0"/>
        <strike val="0"/>
        <condense val="0"/>
        <extend val="0"/>
        <outline val="0"/>
        <shadow val="0"/>
        <u val="none"/>
        <vertAlign val="baseline"/>
        <sz val="12"/>
        <color theme="1"/>
        <name val="Calibri"/>
        <family val="2"/>
        <scheme val="minor"/>
      </font>
      <border diagonalUp="0" diagonalDown="0">
        <left/>
        <right/>
        <top style="thin">
          <color theme="4"/>
        </top>
        <bottom/>
        <vertical/>
        <horizontal/>
      </border>
      <protection locked="1" hidden="1"/>
    </dxf>
    <dxf>
      <border outline="0">
        <left style="thin">
          <color theme="4"/>
        </left>
        <right style="thin">
          <color theme="4"/>
        </right>
        <top style="thin">
          <color theme="4"/>
        </top>
      </border>
    </dxf>
    <dxf>
      <font>
        <b val="0"/>
        <i val="0"/>
        <strike val="0"/>
        <condense val="0"/>
        <extend val="0"/>
        <outline val="0"/>
        <shadow val="0"/>
        <u val="none"/>
        <vertAlign val="baseline"/>
        <sz val="12"/>
        <color theme="1"/>
        <name val="Calibri"/>
        <family val="2"/>
        <scheme val="minor"/>
      </font>
      <protection locked="1" hidden="1"/>
    </dxf>
    <dxf>
      <font>
        <b/>
        <i val="0"/>
        <strike val="0"/>
        <condense val="0"/>
        <extend val="0"/>
        <outline val="0"/>
        <shadow val="0"/>
        <u val="none"/>
        <vertAlign val="baseline"/>
        <sz val="12"/>
        <color theme="0"/>
        <name val="Calibri"/>
        <family val="2"/>
        <scheme val="minor"/>
      </font>
      <fill>
        <patternFill patternType="solid">
          <fgColor theme="4"/>
          <bgColor theme="4"/>
        </patternFill>
      </fill>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numFmt numFmtId="166" formatCode="#,##0.00\ &quot;€&quot;"/>
      <fill>
        <patternFill patternType="solid">
          <fgColor indexed="64"/>
          <bgColor theme="9" tint="0.79998168889431442"/>
        </patternFill>
      </fill>
      <border diagonalUp="0" diagonalDown="0">
        <left style="thin">
          <color indexed="64"/>
        </left>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dxf>
    <dxf>
      <numFmt numFmtId="166" formatCode="#,##0.00\ &quot;€&quo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protection locked="0" hidden="1"/>
    </dxf>
    <dxf>
      <numFmt numFmtId="166" formatCode="#,##0.00\ &quot;€&quot;"/>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9" tint="0.59999389629810485"/>
        </patternFill>
      </fill>
      <border diagonalUp="0" diagonalDown="0" outline="0">
        <left style="thin">
          <color indexed="64"/>
        </left>
        <right style="thin">
          <color indexed="64"/>
        </right>
        <top/>
        <bottom/>
      </border>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numFmt numFmtId="166" formatCode="#,##0.00\ &quot;€&quot;"/>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1"/>
    </dxf>
    <dxf>
      <fill>
        <patternFill patternType="solid">
          <fgColor indexed="64"/>
          <bgColor theme="2" tint="-9.9978637043366805E-2"/>
        </patternFill>
      </fill>
      <border diagonalUp="0" diagonalDown="0">
        <left/>
        <right style="thin">
          <color indexed="64"/>
        </right>
        <top style="thin">
          <color indexed="64"/>
        </top>
        <bottom style="thin">
          <color indexed="64"/>
        </bottom>
      </border>
      <protection locked="1" hidden="1"/>
    </dxf>
    <dxf>
      <border outline="0">
        <top style="thin">
          <color indexed="64"/>
        </top>
      </border>
    </dxf>
    <dxf>
      <border outline="0">
        <left style="thin">
          <color indexed="64"/>
        </left>
        <right style="thin">
          <color indexed="64"/>
        </right>
        <top style="thin">
          <color indexed="64"/>
        </top>
        <bottom style="thin">
          <color indexed="64"/>
        </bottom>
      </border>
    </dxf>
    <dxf>
      <protection locked="1" hidden="1"/>
    </dxf>
    <dxf>
      <border outline="0">
        <bottom style="thin">
          <color indexed="64"/>
        </bottom>
      </border>
    </dxf>
    <dxf>
      <fill>
        <patternFill patternType="solid">
          <fgColor indexed="64"/>
          <bgColor theme="9" tint="0.59999389629810485"/>
        </patternFill>
      </fill>
      <border diagonalUp="0" diagonalDown="0">
        <left style="thin">
          <color indexed="64"/>
        </left>
        <right style="thin">
          <color indexed="64"/>
        </right>
        <top/>
        <bottom/>
      </border>
      <protection locked="1" hidden="1"/>
    </dxf>
    <dxf>
      <protection locked="1" hidden="1"/>
    </dxf>
    <dxf>
      <protection locked="1" hidden="1"/>
    </dxf>
    <dxf>
      <numFmt numFmtId="1" formatCode="0"/>
      <protection locked="1" hidden="1"/>
    </dxf>
    <dxf>
      <numFmt numFmtId="1" formatCode="0"/>
      <protection locked="1" hidden="1"/>
    </dxf>
    <dxf>
      <protection locked="1" hidden="1"/>
    </dxf>
    <dxf>
      <numFmt numFmtId="1" formatCode="0"/>
      <protection locked="1" hidden="1"/>
    </dxf>
    <dxf>
      <protection locked="1" hidden="1"/>
    </dxf>
    <dxf>
      <protection locked="1" hidden="1"/>
    </dxf>
    <dxf>
      <protection locked="1" hidden="1"/>
    </dxf>
    <dxf>
      <protection locked="1" hidden="1"/>
    </dxf>
    <dxf>
      <protection locked="1" hidden="1"/>
    </dxf>
    <dxf>
      <border diagonalUp="0" diagonalDown="0">
        <left/>
        <right style="thin">
          <color indexed="64"/>
        </right>
        <top/>
        <bottom/>
      </border>
    </dxf>
    <dxf>
      <protection locked="1" hidden="1"/>
    </dxf>
    <dxf>
      <border>
        <bottom style="medium">
          <color indexed="64"/>
        </bottom>
      </border>
    </dxf>
    <dxf>
      <font>
        <b/>
      </font>
      <protection locked="1" hidden="1"/>
    </dxf>
    <dxf>
      <protection locked="1" hidden="1"/>
    </dxf>
    <dxf>
      <protection locked="1" hidden="1"/>
    </dxf>
    <dxf>
      <protection locked="1" hidden="1"/>
    </dxf>
    <dxf>
      <protection locked="1" hidden="1"/>
    </dxf>
    <dxf>
      <protection locked="1" hidden="1"/>
    </dxf>
    <dxf>
      <protection locked="1" hidden="1"/>
    </dxf>
    <dxf>
      <border diagonalUp="0" diagonalDown="0">
        <left/>
        <right style="thin">
          <color indexed="64"/>
        </right>
        <top/>
        <bottom/>
      </border>
    </dxf>
    <dxf>
      <protection locked="1" hidden="1"/>
    </dxf>
    <dxf>
      <border>
        <bottom style="medium">
          <color indexed="64"/>
        </bottom>
      </border>
    </dxf>
    <dxf>
      <font>
        <b/>
      </font>
      <protection locked="1" hidden="1"/>
    </dxf>
    <dxf>
      <fill>
        <patternFill patternType="none">
          <bgColor auto="1"/>
        </patternFill>
      </fill>
      <alignment horizontal="right" vertical="bottom" textRotation="0" wrapText="0" indent="0" justifyLastLine="0" shrinkToFit="0" readingOrder="0"/>
    </dxf>
    <dxf>
      <fill>
        <patternFill patternType="none">
          <bgColor auto="1"/>
        </patternFill>
      </fill>
    </dxf>
    <dxf>
      <fill>
        <patternFill patternType="none">
          <bgColor auto="1"/>
        </patternFill>
      </fill>
    </dxf>
    <dxf>
      <border>
        <bottom style="thin">
          <color rgb="FF000000"/>
        </bottom>
      </border>
    </dxf>
    <dxf>
      <border diagonalUp="0" diagonalDown="0">
        <left/>
        <right/>
        <top/>
        <bottom/>
        <vertical/>
        <horizontal/>
      </border>
    </dxf>
    <dxf>
      <protection locked="1" hidden="1"/>
    </dxf>
    <dxf>
      <fill>
        <patternFill patternType="none">
          <bgColor auto="1"/>
        </patternFill>
      </fill>
      <alignment horizontal="right" vertical="bottom" textRotation="0" wrapText="0" indent="0" justifyLastLine="0" shrinkToFit="0" readingOrder="0"/>
      <protection locked="1" hidden="1"/>
    </dxf>
    <dxf>
      <fill>
        <patternFill patternType="none">
          <bgColor auto="1"/>
        </patternFill>
      </fill>
      <protection locked="1" hidden="1"/>
    </dxf>
    <dxf>
      <fill>
        <patternFill patternType="none">
          <bgColor auto="1"/>
        </patternFill>
      </fill>
      <protection locked="1" hidden="1"/>
    </dxf>
    <dxf>
      <protection locked="1" hidden="1"/>
    </dxf>
    <dxf>
      <border>
        <bottom style="thin">
          <color rgb="FF000000"/>
        </bottom>
      </border>
    </dxf>
    <dxf>
      <border diagonalUp="0" diagonalDown="0">
        <left/>
        <right/>
        <top/>
        <bottom/>
        <vertical/>
        <horizontal/>
      </border>
      <protection locked="1" hidden="1"/>
    </dxf>
    <dxf>
      <protection locked="1" hidden="1"/>
    </dxf>
    <dxf>
      <protection locked="1" hidden="1"/>
    </dxf>
    <dxf>
      <protection locked="1" hidden="1"/>
    </dxf>
    <dxf>
      <fill>
        <patternFill patternType="none">
          <bgColor auto="1"/>
        </patternFill>
      </fill>
      <alignment horizontal="right" vertical="bottom" textRotation="0" wrapText="0" indent="0" justifyLastLine="0" shrinkToFit="0" readingOrder="0"/>
      <protection locked="1" hidden="1"/>
    </dxf>
    <dxf>
      <fill>
        <patternFill patternType="none">
          <bgColor auto="1"/>
        </patternFill>
      </fill>
      <protection locked="1" hidden="1"/>
    </dxf>
    <dxf>
      <fill>
        <patternFill patternType="none">
          <bgColor auto="1"/>
        </patternFill>
      </fill>
      <protection locked="1" hidden="1"/>
    </dxf>
    <dxf>
      <protection locked="1" hidden="1"/>
    </dxf>
    <dxf>
      <border>
        <bottom style="thin">
          <color rgb="FF000000"/>
        </bottom>
      </border>
    </dxf>
    <dxf>
      <border diagonalUp="0" diagonalDown="0">
        <left/>
        <right/>
        <top/>
        <bottom/>
        <vertical/>
        <horizontal/>
      </border>
      <protection locked="1" hidden="1"/>
    </dxf>
    <dxf>
      <border diagonalUp="0" diagonalDown="0">
        <left/>
        <right style="thin">
          <color indexed="64"/>
        </right>
        <top/>
        <bottom/>
        <vertical/>
        <horizontal/>
      </border>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alignment horizontal="right" vertical="bottom" textRotation="0" wrapText="0" indent="0" justifyLastLine="0" shrinkToFit="0" readingOrder="0"/>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alignment horizontal="right" vertical="bottom" textRotation="0" wrapText="0" indent="0" justifyLastLine="0" shrinkToFit="0" readingOrder="0"/>
      <protection locked="1" hidden="1"/>
    </dxf>
    <dxf>
      <protection locked="1" hidden="1"/>
    </dxf>
    <dxf>
      <fill>
        <patternFill patternType="none">
          <bgColor auto="1"/>
        </patternFill>
      </fill>
      <alignment horizontal="right" vertical="bottom" textRotation="0" wrapText="0" indent="0" justifyLastLine="0" shrinkToFit="0" readingOrder="0"/>
      <protection locked="1" hidden="1"/>
    </dxf>
    <dxf>
      <fill>
        <patternFill patternType="none">
          <bgColor auto="1"/>
        </patternFill>
      </fill>
      <protection locked="1" hidden="1"/>
    </dxf>
    <dxf>
      <fill>
        <patternFill patternType="none">
          <bgColor auto="1"/>
        </patternFill>
      </fill>
      <border diagonalUp="0" diagonalDown="0">
        <left style="thin">
          <color indexed="64"/>
        </left>
        <right/>
        <top/>
        <bottom/>
        <vertical/>
        <horizontal/>
      </border>
      <protection locked="1" hidden="1"/>
    </dxf>
    <dxf>
      <protection locked="1" hidden="1"/>
    </dxf>
    <dxf>
      <border>
        <bottom style="thin">
          <color indexed="64"/>
        </bottom>
      </border>
    </dxf>
    <dxf>
      <border diagonalUp="0" diagonalDown="0">
        <left/>
        <right/>
        <top/>
        <bottom/>
        <vertical/>
        <horizontal/>
      </border>
    </dxf>
    <dxf>
      <fill>
        <patternFill patternType="none">
          <bgColor auto="1"/>
        </patternFill>
      </fill>
      <alignment horizontal="right" vertical="bottom" textRotation="0" wrapText="0" indent="0" justifyLastLine="0" shrinkToFit="0" readingOrder="0"/>
    </dxf>
    <dxf>
      <fill>
        <patternFill patternType="none">
          <bgColor auto="1"/>
        </patternFill>
      </fill>
    </dxf>
    <dxf>
      <fill>
        <patternFill patternType="none">
          <bgColor auto="1"/>
        </patternFill>
      </fill>
    </dxf>
    <dxf>
      <border>
        <bottom style="thin">
          <color rgb="FF000000"/>
        </bottom>
      </border>
    </dxf>
    <dxf>
      <border diagonalUp="0" diagonalDown="0">
        <left/>
        <right/>
        <top/>
        <bottom/>
        <vertical/>
        <horizontal/>
      </border>
    </dxf>
    <dxf>
      <numFmt numFmtId="0" formatCode="General"/>
      <border diagonalUp="0" diagonalDown="0">
        <left/>
        <right style="thin">
          <color indexed="64"/>
        </right>
        <top/>
        <bottom/>
        <vertical/>
        <horizontal/>
      </border>
    </dxf>
    <dxf>
      <numFmt numFmtId="0" formatCode="General"/>
      <protection locked="1" hidden="1"/>
    </dxf>
    <dxf>
      <numFmt numFmtId="0" formatCode="General"/>
    </dxf>
    <dxf>
      <numFmt numFmtId="0" formatCode="General"/>
      <protection locked="1" hidden="1"/>
    </dxf>
    <dxf>
      <numFmt numFmtId="0" formatCode="General"/>
    </dxf>
    <dxf>
      <numFmt numFmtId="0" formatCode="General"/>
      <protection locked="1" hidden="1"/>
    </dxf>
    <dxf>
      <numFmt numFmtId="0" formatCode="General"/>
      <protection locked="1" hidden="1"/>
    </dxf>
    <dxf>
      <numFmt numFmtId="0" formatCode="General"/>
      <protection locked="1" hidden="1"/>
    </dxf>
    <dxf>
      <protection locked="1" hidden="1"/>
    </dxf>
    <dxf>
      <protection locked="1" hidden="1"/>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right style="thin">
          <color indexed="64"/>
        </right>
        <top/>
        <bottom/>
        <vertical/>
        <horizontal/>
      </border>
    </dxf>
    <dxf>
      <protection locked="1" hidden="1"/>
    </dxf>
    <dxf>
      <protection locked="1" hidden="1"/>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protection locked="1" hidden="1"/>
    </dxf>
    <dxf>
      <protection locked="1" hidden="1"/>
    </dxf>
    <dxf>
      <protection locked="1" hidden="1"/>
    </dxf>
    <dxf>
      <protection locked="1" hidden="1"/>
    </dxf>
    <dxf>
      <protection locked="1" hidden="1"/>
    </dxf>
    <dxf>
      <protection locked="1" hidden="1"/>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protection locked="1" hidden="1"/>
    </dxf>
    <dxf>
      <protection locked="1" hidden="1"/>
    </dxf>
    <dxf>
      <fill>
        <patternFill patternType="none">
          <fgColor indexed="64"/>
          <bgColor indexed="65"/>
        </patternFill>
      </fill>
      <protection locked="1" hidden="1"/>
    </dxf>
    <dxf>
      <font>
        <b val="0"/>
        <i val="0"/>
        <strike val="0"/>
        <condense val="0"/>
        <extend val="0"/>
        <outline val="0"/>
        <shadow val="0"/>
        <u val="none"/>
        <vertAlign val="baseline"/>
        <sz val="12"/>
        <color theme="1"/>
        <name val="Calibri"/>
        <family val="2"/>
        <scheme val="minor"/>
      </font>
      <protection locked="1" hidden="1"/>
    </dxf>
    <dxf>
      <border outline="0">
        <left style="thin">
          <color indexed="64"/>
        </left>
        <top style="thin">
          <color indexed="64"/>
        </top>
        <bottom style="thin">
          <color indexed="64"/>
        </bottom>
      </border>
    </dxf>
    <dxf>
      <border diagonalUp="0" diagonalDown="0" outline="0">
        <left style="thin">
          <color indexed="64"/>
        </left>
        <right style="thin">
          <color indexed="64"/>
        </right>
        <top/>
        <bottom/>
      </border>
    </dxf>
    <dxf>
      <border diagonalUp="0" diagonalDown="0"/>
    </dxf>
    <dxf>
      <protection locked="1" hidden="1"/>
    </dxf>
    <dxf>
      <border diagonalUp="0" diagonalDown="0">
        <left style="thin">
          <color indexed="64"/>
        </left>
      </border>
      <protection locked="1" hidden="1"/>
    </dxf>
    <dxf>
      <protection locked="1" hidden="1"/>
    </dxf>
    <dxf>
      <font>
        <b val="0"/>
        <i val="0"/>
        <strike val="0"/>
        <condense val="0"/>
        <extend val="0"/>
        <outline val="0"/>
        <shadow val="0"/>
        <u val="none"/>
        <vertAlign val="baseline"/>
        <sz val="12"/>
        <color theme="1"/>
        <name val="Calibri"/>
        <family val="2"/>
        <scheme val="minor"/>
      </font>
      <protection locked="1" hidden="1"/>
    </dxf>
    <dxf>
      <border outline="0">
        <left style="thin">
          <color indexed="64"/>
        </left>
        <top style="thin">
          <color indexed="64"/>
        </top>
        <bottom style="thin">
          <color indexed="64"/>
        </bottom>
      </border>
    </dxf>
    <dxf>
      <border diagonalUp="0" diagonalDown="0">
        <left style="thin">
          <color indexed="64"/>
        </left>
        <right style="thin">
          <color indexed="64"/>
        </right>
        <top/>
        <bottom/>
      </border>
      <protection locked="0" hidden="1"/>
    </dxf>
    <dxf>
      <border diagonalUp="0" diagonalDown="0">
        <left/>
        <right style="thin">
          <color indexed="64"/>
        </right>
        <top/>
        <bottom/>
        <vertical/>
        <horizontal/>
      </border>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fill>
        <patternFill patternType="none">
          <fgColor indexed="64"/>
          <bgColor indexed="65"/>
        </patternFill>
      </fill>
    </dxf>
    <dxf>
      <protection locked="1" hidden="1"/>
    </dxf>
    <dxf>
      <fill>
        <patternFill patternType="none">
          <fgColor indexed="64"/>
          <bgColor indexed="65"/>
        </patternFill>
      </fill>
    </dxf>
    <dxf>
      <numFmt numFmtId="2" formatCode="0.00"/>
      <alignment horizontal="right" vertical="bottom" textRotation="0" wrapText="0" indent="0" justifyLastLine="0" shrinkToFit="0" readingOrder="0"/>
      <protection locked="1" hidden="1"/>
    </dxf>
    <dxf>
      <fill>
        <patternFill patternType="none">
          <fgColor indexed="64"/>
          <bgColor indexed="65"/>
        </patternFill>
      </fill>
    </dxf>
    <dxf>
      <numFmt numFmtId="2" formatCode="0.00"/>
      <alignment horizontal="right" vertical="bottom" textRotation="0" wrapText="0" indent="0" justifyLastLine="0" shrinkToFit="0" readingOrder="0"/>
      <protection locked="1" hidden="1"/>
    </dxf>
    <dxf>
      <protection locked="1" hidden="1"/>
    </dxf>
    <dxf>
      <font>
        <strike val="0"/>
        <outline val="0"/>
        <shadow val="0"/>
        <u val="none"/>
        <sz val="12"/>
      </font>
      <protection locked="1" hidden="1"/>
    </dxf>
    <dxf>
      <border outline="0">
        <top style="thin">
          <color indexed="64"/>
        </top>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0" hidden="1"/>
    </dxf>
    <dxf>
      <numFmt numFmtId="0" formatCode="General"/>
    </dxf>
    <dxf>
      <fill>
        <patternFill patternType="none">
          <fgColor indexed="64"/>
          <bgColor indexed="65"/>
        </patternFill>
      </fill>
    </dxf>
    <dxf>
      <border outline="0">
        <top style="thin">
          <color indexed="64"/>
        </top>
      </border>
    </dxf>
    <dxf>
      <border outline="0">
        <bottom style="thin">
          <color indexed="64"/>
        </bottom>
      </border>
    </dxf>
    <dxf>
      <border diagonalUp="0" diagonalDown="0" outline="0">
        <left style="thin">
          <color indexed="64"/>
        </left>
        <right style="thin">
          <color indexed="64"/>
        </right>
        <top/>
        <bottom/>
      </border>
    </dxf>
    <dxf>
      <border diagonalUp="0" diagonalDown="0">
        <left/>
        <right style="thin">
          <color indexed="64"/>
        </right>
        <top/>
        <bottom/>
        <vertical/>
        <horizontal/>
      </border>
    </dxf>
    <dxf>
      <numFmt numFmtId="13" formatCode="0%"/>
      <protection locked="1" hidden="1"/>
    </dxf>
    <dxf>
      <fill>
        <patternFill patternType="none">
          <fgColor indexed="64"/>
          <bgColor indexed="65"/>
        </patternFill>
      </fill>
      <protection locked="1" hidden="1"/>
    </dxf>
    <dxf>
      <border diagonalUp="0" diagonalDown="0">
        <left style="thin">
          <color indexed="64"/>
        </left>
        <right/>
        <top/>
        <bottom/>
        <vertical/>
        <horizontal/>
      </border>
      <protection locked="1" hidden="1"/>
    </dxf>
    <dxf>
      <border outline="0">
        <top style="thin">
          <color indexed="64"/>
        </top>
      </border>
    </dxf>
    <dxf>
      <border outline="0">
        <bottom style="thin">
          <color indexed="64"/>
        </bottom>
      </border>
    </dxf>
    <dxf>
      <border diagonalUp="0" diagonalDown="0" outline="0">
        <left style="thin">
          <color indexed="64"/>
        </left>
        <right style="thin">
          <color indexed="64"/>
        </right>
        <top/>
        <bottom/>
      </border>
    </dxf>
    <dxf>
      <border diagonalUp="0" diagonalDown="0">
        <left/>
        <right style="thin">
          <color indexed="64"/>
        </right>
        <top/>
        <bottom/>
        <vertical/>
        <horizontal/>
      </border>
    </dxf>
    <dxf>
      <protection locked="1" hidden="1"/>
    </dxf>
    <dxf>
      <protection locked="1" hidden="1"/>
    </dxf>
    <dxf>
      <border diagonalUp="0" diagonalDown="0">
        <left style="thin">
          <color indexed="64"/>
        </left>
        <right/>
        <top/>
        <bottom/>
        <vertical/>
        <horizontal/>
      </border>
      <protection locked="1" hidden="1"/>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right style="thin">
          <color indexed="64"/>
        </right>
        <vertical/>
      </border>
    </dxf>
    <dxf>
      <border diagonalUp="0" diagonalDown="0">
        <left style="thin">
          <color indexed="64"/>
        </left>
        <right/>
        <vertical/>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right style="thin">
          <color indexed="64"/>
        </right>
        <top/>
        <bottom/>
        <vertical/>
        <horizontal/>
      </border>
    </dxf>
    <dxf>
      <protection locked="1" hidden="1"/>
    </dxf>
    <dxf>
      <protection locked="1" hidden="1"/>
    </dxf>
    <dxf>
      <protection locked="1" hidden="1"/>
    </dxf>
    <dxf>
      <protection locked="1" hidden="1"/>
    </dxf>
    <dxf>
      <border diagonalUp="0" diagonalDown="0">
        <left style="thin">
          <color indexed="64"/>
        </left>
        <right/>
        <top/>
        <bottom/>
        <vertical/>
        <horizontal/>
      </border>
      <protection locked="1" hidden="1"/>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66" formatCode="#,##0.00\ &quot;€&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quot;"/>
      <border diagonalUp="0" diagonalDown="0" outline="0">
        <left style="thin">
          <color indexed="64"/>
        </left>
        <right style="thin">
          <color indexed="64"/>
        </right>
        <top style="thin">
          <color indexed="64"/>
        </top>
        <bottom style="thin">
          <color indexed="64"/>
        </bottom>
      </border>
    </dxf>
    <dxf>
      <numFmt numFmtId="166" formatCode="#,##0.00\ &quot;€&quot;"/>
      <border diagonalUp="0" diagonalDown="0" outline="0">
        <left style="thin">
          <color indexed="64"/>
        </left>
        <right style="thin">
          <color indexed="64"/>
        </right>
        <top style="thin">
          <color indexed="64"/>
        </top>
        <bottom style="thin">
          <color indexed="64"/>
        </bottom>
      </border>
    </dxf>
    <dxf>
      <numFmt numFmtId="166" formatCode="#,##0.00\ &quot;€&quot;"/>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s>
  <tableStyles count="1" defaultTableStyle="TableStyleMedium2" defaultPivotStyle="PivotStyleLight16">
    <tableStyle name="Table Style 1" pivot="0" count="0" xr9:uid="{F18C118C-0B3C-EC4B-9F27-A9DDA5642AD6}"/>
  </tableStyles>
  <colors>
    <mruColors>
      <color rgb="FF33CCCC"/>
      <color rgb="FF66FF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HOME!$G$62</c:f>
              <c:strCache>
                <c:ptCount val="1"/>
                <c:pt idx="0">
                  <c:v>Electrolyser [€/kg]</c:v>
                </c:pt>
              </c:strCache>
            </c:strRef>
          </c:tx>
          <c:spPr>
            <a:solidFill>
              <a:schemeClr val="accent1">
                <a:lumMod val="40000"/>
                <a:lumOff val="60000"/>
              </a:schemeClr>
            </a:solidFill>
            <a:ln>
              <a:noFill/>
            </a:ln>
            <a:effectLst/>
          </c:spPr>
          <c:invertIfNegative val="0"/>
          <c:dLbls>
            <c:dLbl>
              <c:idx val="0"/>
              <c:tx>
                <c:rich>
                  <a:bodyPr/>
                  <a:lstStyle/>
                  <a:p>
                    <a:fld id="{A3704FE3-B36D-5642-803B-B1EC73155967}"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DBF-7246-A773-1E189CCA42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HOME!$H$62</c:f>
              <c:numCache>
                <c:formatCode>0.00</c:formatCode>
                <c:ptCount val="1"/>
                <c:pt idx="0">
                  <c:v>1.6634270690879229</c:v>
                </c:pt>
              </c:numCache>
            </c:numRef>
          </c:val>
          <c:extLst>
            <c:ext xmlns:c15="http://schemas.microsoft.com/office/drawing/2012/chart" uri="{02D57815-91ED-43cb-92C2-25804820EDAC}">
              <c15:datalabelsRange>
                <c15:f>HOME!$K$62</c15:f>
                <c15:dlblRangeCache>
                  <c:ptCount val="1"/>
                  <c:pt idx="0">
                    <c:v>33%</c:v>
                  </c:pt>
                </c15:dlblRangeCache>
              </c15:datalabelsRange>
            </c:ext>
            <c:ext xmlns:c16="http://schemas.microsoft.com/office/drawing/2014/chart" uri="{C3380CC4-5D6E-409C-BE32-E72D297353CC}">
              <c16:uniqueId val="{00000000-5669-4FA9-A47D-DE07A332690F}"/>
            </c:ext>
          </c:extLst>
        </c:ser>
        <c:ser>
          <c:idx val="1"/>
          <c:order val="1"/>
          <c:tx>
            <c:strRef>
              <c:f>HOME!$G$63</c:f>
              <c:strCache>
                <c:ptCount val="1"/>
                <c:pt idx="0">
                  <c:v>Electricity [€/kg]</c:v>
                </c:pt>
              </c:strCache>
            </c:strRef>
          </c:tx>
          <c:spPr>
            <a:solidFill>
              <a:schemeClr val="accent2">
                <a:lumMod val="40000"/>
                <a:lumOff val="60000"/>
              </a:schemeClr>
            </a:solidFill>
            <a:ln>
              <a:noFill/>
            </a:ln>
            <a:effectLst/>
          </c:spPr>
          <c:invertIfNegative val="0"/>
          <c:dLbls>
            <c:dLbl>
              <c:idx val="0"/>
              <c:tx>
                <c:rich>
                  <a:bodyPr/>
                  <a:lstStyle/>
                  <a:p>
                    <a:fld id="{318D02ED-6B33-C941-87E7-300F2F00A7F9}"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DBF-7246-A773-1E189CCA42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HOME!$H$63</c:f>
              <c:numCache>
                <c:formatCode>0.00</c:formatCode>
                <c:ptCount val="1"/>
                <c:pt idx="0">
                  <c:v>3.3439976269795761</c:v>
                </c:pt>
              </c:numCache>
            </c:numRef>
          </c:val>
          <c:extLst>
            <c:ext xmlns:c15="http://schemas.microsoft.com/office/drawing/2012/chart" uri="{02D57815-91ED-43cb-92C2-25804820EDAC}">
              <c15:datalabelsRange>
                <c15:f>HOME!$K$63</c15:f>
                <c15:dlblRangeCache>
                  <c:ptCount val="1"/>
                  <c:pt idx="0">
                    <c:v>67%</c:v>
                  </c:pt>
                </c15:dlblRangeCache>
              </c15:datalabelsRange>
            </c:ext>
            <c:ext xmlns:c16="http://schemas.microsoft.com/office/drawing/2014/chart" uri="{C3380CC4-5D6E-409C-BE32-E72D297353CC}">
              <c16:uniqueId val="{00000002-5669-4FA9-A47D-DE07A332690F}"/>
            </c:ext>
          </c:extLst>
        </c:ser>
        <c:ser>
          <c:idx val="2"/>
          <c:order val="2"/>
          <c:tx>
            <c:strRef>
              <c:f>HOME!$G$64</c:f>
              <c:strCache>
                <c:ptCount val="1"/>
              </c:strCache>
            </c:strRef>
          </c:tx>
          <c:spPr>
            <a:solidFill>
              <a:schemeClr val="accent6">
                <a:lumMod val="40000"/>
                <a:lumOff val="60000"/>
              </a:schemeClr>
            </a:solidFill>
            <a:ln>
              <a:noFill/>
            </a:ln>
            <a:effectLst/>
          </c:spPr>
          <c:invertIfNegative val="0"/>
          <c:dLbls>
            <c:dLbl>
              <c:idx val="0"/>
              <c:tx>
                <c:rich>
                  <a:bodyPr/>
                  <a:lstStyle/>
                  <a:p>
                    <a:fld id="{F0C640F0-D1FC-104A-AE8D-08BAE9E97327}"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3DBF-7246-A773-1E189CCA42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HOME!$H$64</c:f>
              <c:numCache>
                <c:formatCode>0.00</c:formatCode>
                <c:ptCount val="1"/>
                <c:pt idx="0">
                  <c:v>0</c:v>
                </c:pt>
              </c:numCache>
            </c:numRef>
          </c:val>
          <c:extLst>
            <c:ext xmlns:c15="http://schemas.microsoft.com/office/drawing/2012/chart" uri="{02D57815-91ED-43cb-92C2-25804820EDAC}">
              <c15:datalabelsRange>
                <c15:f>HOME!$K$64</c15:f>
                <c15:dlblRangeCache>
                  <c:ptCount val="1"/>
                  <c:pt idx="0">
                    <c:v>0%</c:v>
                  </c:pt>
                </c15:dlblRangeCache>
              </c15:datalabelsRange>
            </c:ext>
            <c:ext xmlns:c16="http://schemas.microsoft.com/office/drawing/2014/chart" uri="{C3380CC4-5D6E-409C-BE32-E72D297353CC}">
              <c16:uniqueId val="{00000001-B9D0-4D49-9AC0-6AA2633E82BE}"/>
            </c:ext>
          </c:extLst>
        </c:ser>
        <c:ser>
          <c:idx val="3"/>
          <c:order val="3"/>
          <c:tx>
            <c:strRef>
              <c:f>HOME!$G$65</c:f>
              <c:strCache>
                <c:ptCount val="1"/>
              </c:strCache>
            </c:strRef>
          </c:tx>
          <c:spPr>
            <a:solidFill>
              <a:schemeClr val="accent4">
                <a:lumMod val="40000"/>
                <a:lumOff val="60000"/>
              </a:schemeClr>
            </a:solidFill>
            <a:ln>
              <a:noFill/>
            </a:ln>
            <a:effectLst/>
          </c:spPr>
          <c:invertIfNegative val="0"/>
          <c:dLbls>
            <c:dLbl>
              <c:idx val="0"/>
              <c:tx>
                <c:rich>
                  <a:bodyPr/>
                  <a:lstStyle/>
                  <a:p>
                    <a:fld id="{E3B7B388-23AC-6B42-8A77-D03FFE8B92C1}"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3DBF-7246-A773-1E189CCA42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HOME!$H$65</c:f>
              <c:numCache>
                <c:formatCode>0.00</c:formatCode>
                <c:ptCount val="1"/>
                <c:pt idx="0">
                  <c:v>0</c:v>
                </c:pt>
              </c:numCache>
            </c:numRef>
          </c:val>
          <c:extLst>
            <c:ext xmlns:c15="http://schemas.microsoft.com/office/drawing/2012/chart" uri="{02D57815-91ED-43cb-92C2-25804820EDAC}">
              <c15:datalabelsRange>
                <c15:f>HOME!$K$65</c15:f>
                <c15:dlblRangeCache>
                  <c:ptCount val="1"/>
                  <c:pt idx="0">
                    <c:v>0%</c:v>
                  </c:pt>
                </c15:dlblRangeCache>
              </c15:datalabelsRange>
            </c:ext>
            <c:ext xmlns:c16="http://schemas.microsoft.com/office/drawing/2014/chart" uri="{C3380CC4-5D6E-409C-BE32-E72D297353CC}">
              <c16:uniqueId val="{00000002-B9D0-4D49-9AC0-6AA2633E82BE}"/>
            </c:ext>
          </c:extLst>
        </c:ser>
        <c:dLbls>
          <c:dLblPos val="ctr"/>
          <c:showLegendKey val="0"/>
          <c:showVal val="1"/>
          <c:showCatName val="0"/>
          <c:showSerName val="0"/>
          <c:showPercent val="0"/>
          <c:showBubbleSize val="0"/>
        </c:dLbls>
        <c:gapWidth val="150"/>
        <c:overlap val="100"/>
        <c:axId val="2063185256"/>
        <c:axId val="2098716720"/>
      </c:barChart>
      <c:catAx>
        <c:axId val="2063185256"/>
        <c:scaling>
          <c:orientation val="minMax"/>
        </c:scaling>
        <c:delete val="1"/>
        <c:axPos val="b"/>
        <c:numFmt formatCode="General" sourceLinked="1"/>
        <c:majorTickMark val="none"/>
        <c:minorTickMark val="none"/>
        <c:tickLblPos val="nextTo"/>
        <c:crossAx val="2098716720"/>
        <c:crosses val="autoZero"/>
        <c:auto val="1"/>
        <c:lblAlgn val="ctr"/>
        <c:lblOffset val="100"/>
        <c:noMultiLvlLbl val="0"/>
      </c:catAx>
      <c:valAx>
        <c:axId val="20987167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[€/kg H2]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6318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HOME!$G$86</c:f>
              <c:strCache>
                <c:ptCount val="1"/>
                <c:pt idx="0">
                  <c:v>Sea transportation [€/kg]</c:v>
                </c:pt>
              </c:strCache>
            </c:strRef>
          </c:tx>
          <c:spPr>
            <a:solidFill>
              <a:schemeClr val="accent1">
                <a:lumMod val="40000"/>
                <a:lumOff val="60000"/>
              </a:schemeClr>
            </a:solidFill>
            <a:ln>
              <a:noFill/>
            </a:ln>
            <a:effectLst/>
          </c:spPr>
          <c:invertIfNegative val="0"/>
          <c:dLbls>
            <c:dLbl>
              <c:idx val="0"/>
              <c:tx>
                <c:rich>
                  <a:bodyPr/>
                  <a:lstStyle/>
                  <a:p>
                    <a:fld id="{166E41D3-F8A8-544F-9D9C-4711CB7CA536}"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2B9-5F47-B02E-F41BFA05F0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HOME!$H$86</c:f>
              <c:numCache>
                <c:formatCode>0.000</c:formatCode>
                <c:ptCount val="1"/>
                <c:pt idx="0">
                  <c:v>0</c:v>
                </c:pt>
              </c:numCache>
            </c:numRef>
          </c:val>
          <c:extLst>
            <c:ext xmlns:c15="http://schemas.microsoft.com/office/drawing/2012/chart" uri="{02D57815-91ED-43cb-92C2-25804820EDAC}">
              <c15:datalabelsRange>
                <c15:f>HOME!$K$83</c15:f>
                <c15:dlblRangeCache>
                  <c:ptCount val="1"/>
                  <c:pt idx="0">
                    <c:v>0%</c:v>
                  </c:pt>
                </c15:dlblRangeCache>
              </c15:datalabelsRange>
            </c:ext>
            <c:ext xmlns:c16="http://schemas.microsoft.com/office/drawing/2014/chart" uri="{C3380CC4-5D6E-409C-BE32-E72D297353CC}">
              <c16:uniqueId val="{00000001-72B9-5F47-B02E-F41BFA05F01E}"/>
            </c:ext>
          </c:extLst>
        </c:ser>
        <c:ser>
          <c:idx val="1"/>
          <c:order val="1"/>
          <c:tx>
            <c:strRef>
              <c:f>HOME!$G$87</c:f>
              <c:strCache>
                <c:ptCount val="1"/>
                <c:pt idx="0">
                  <c:v>Land transportation [€/kg]</c:v>
                </c:pt>
              </c:strCache>
            </c:strRef>
          </c:tx>
          <c:spPr>
            <a:solidFill>
              <a:schemeClr val="accent2">
                <a:lumMod val="40000"/>
                <a:lumOff val="60000"/>
              </a:schemeClr>
            </a:solidFill>
            <a:ln>
              <a:noFill/>
            </a:ln>
            <a:effectLst/>
          </c:spPr>
          <c:invertIfNegative val="0"/>
          <c:dLbls>
            <c:dLbl>
              <c:idx val="0"/>
              <c:tx>
                <c:rich>
                  <a:bodyPr/>
                  <a:lstStyle/>
                  <a:p>
                    <a:fld id="{DA460AB9-A8DB-0245-808A-B12E46821C82}"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2B9-5F47-B02E-F41BFA05F0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HOME!$H$87</c:f>
              <c:numCache>
                <c:formatCode>0.000</c:formatCode>
                <c:ptCount val="1"/>
                <c:pt idx="0">
                  <c:v>0</c:v>
                </c:pt>
              </c:numCache>
            </c:numRef>
          </c:val>
          <c:extLst>
            <c:ext xmlns:c15="http://schemas.microsoft.com/office/drawing/2012/chart" uri="{02D57815-91ED-43cb-92C2-25804820EDAC}">
              <c15:datalabelsRange>
                <c15:f>HOME!$K$84</c15:f>
                <c15:dlblRangeCache>
                  <c:ptCount val="1"/>
                  <c:pt idx="0">
                    <c:v>0%</c:v>
                  </c:pt>
                </c15:dlblRangeCache>
              </c15:datalabelsRange>
            </c:ext>
            <c:ext xmlns:c16="http://schemas.microsoft.com/office/drawing/2014/chart" uri="{C3380CC4-5D6E-409C-BE32-E72D297353CC}">
              <c16:uniqueId val="{00000003-72B9-5F47-B02E-F41BFA05F01E}"/>
            </c:ext>
          </c:extLst>
        </c:ser>
        <c:ser>
          <c:idx val="2"/>
          <c:order val="2"/>
          <c:tx>
            <c:strRef>
              <c:f>HOME!$G$88</c:f>
              <c:strCache>
                <c:ptCount val="1"/>
                <c:pt idx="0">
                  <c:v>Compression [€/kg]</c:v>
                </c:pt>
              </c:strCache>
            </c:strRef>
          </c:tx>
          <c:spPr>
            <a:solidFill>
              <a:schemeClr val="accent6">
                <a:lumMod val="40000"/>
                <a:lumOff val="60000"/>
              </a:schemeClr>
            </a:solidFill>
            <a:ln>
              <a:noFill/>
            </a:ln>
            <a:effectLst/>
          </c:spPr>
          <c:invertIfNegative val="0"/>
          <c:dLbls>
            <c:dLbl>
              <c:idx val="0"/>
              <c:tx>
                <c:rich>
                  <a:bodyPr/>
                  <a:lstStyle/>
                  <a:p>
                    <a:fld id="{ECF2F91F-237A-7542-A7D3-F722F49B51AD}"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2B9-5F47-B02E-F41BFA05F0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HOME!$H$88</c:f>
              <c:numCache>
                <c:formatCode>0.000</c:formatCode>
                <c:ptCount val="1"/>
                <c:pt idx="0">
                  <c:v>0</c:v>
                </c:pt>
              </c:numCache>
            </c:numRef>
          </c:val>
          <c:extLst>
            <c:ext xmlns:c15="http://schemas.microsoft.com/office/drawing/2012/chart" uri="{02D57815-91ED-43cb-92C2-25804820EDAC}">
              <c15:datalabelsRange>
                <c15:f>HOME!$K$85</c15:f>
                <c15:dlblRangeCache>
                  <c:ptCount val="1"/>
                  <c:pt idx="0">
                    <c:v>0%</c:v>
                  </c:pt>
                </c15:dlblRangeCache>
              </c15:datalabelsRange>
            </c:ext>
            <c:ext xmlns:c16="http://schemas.microsoft.com/office/drawing/2014/chart" uri="{C3380CC4-5D6E-409C-BE32-E72D297353CC}">
              <c16:uniqueId val="{00000005-72B9-5F47-B02E-F41BFA05F01E}"/>
            </c:ext>
          </c:extLst>
        </c:ser>
        <c:ser>
          <c:idx val="3"/>
          <c:order val="3"/>
          <c:tx>
            <c:strRef>
              <c:f>HOME!$G$89</c:f>
              <c:strCache>
                <c:ptCount val="1"/>
                <c:pt idx="0">
                  <c:v>(Re)Conversion [€/kg]</c:v>
                </c:pt>
              </c:strCache>
            </c:strRef>
          </c:tx>
          <c:spPr>
            <a:solidFill>
              <a:schemeClr val="accent4">
                <a:lumMod val="40000"/>
                <a:lumOff val="60000"/>
              </a:schemeClr>
            </a:solidFill>
            <a:ln>
              <a:noFill/>
            </a:ln>
            <a:effectLst/>
          </c:spPr>
          <c:invertIfNegative val="0"/>
          <c:dLbls>
            <c:dLbl>
              <c:idx val="0"/>
              <c:tx>
                <c:rich>
                  <a:bodyPr/>
                  <a:lstStyle/>
                  <a:p>
                    <a:fld id="{080E6E9F-0E69-0145-8555-C2BE17E87498}"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72B9-5F47-B02E-F41BFA05F0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HOME!$H$89</c:f>
              <c:numCache>
                <c:formatCode>0.000</c:formatCode>
                <c:ptCount val="1"/>
                <c:pt idx="0">
                  <c:v>0</c:v>
                </c:pt>
              </c:numCache>
            </c:numRef>
          </c:val>
          <c:extLst>
            <c:ext xmlns:c15="http://schemas.microsoft.com/office/drawing/2012/chart" uri="{02D57815-91ED-43cb-92C2-25804820EDAC}">
              <c15:datalabelsRange>
                <c15:f>HOME!$K$86</c15:f>
                <c15:dlblRangeCache>
                  <c:ptCount val="1"/>
                  <c:pt idx="0">
                    <c:v>0%</c:v>
                  </c:pt>
                </c15:dlblRangeCache>
              </c15:datalabelsRange>
            </c:ext>
            <c:ext xmlns:c16="http://schemas.microsoft.com/office/drawing/2014/chart" uri="{C3380CC4-5D6E-409C-BE32-E72D297353CC}">
              <c16:uniqueId val="{00000007-72B9-5F47-B02E-F41BFA05F01E}"/>
            </c:ext>
          </c:extLst>
        </c:ser>
        <c:dLbls>
          <c:dLblPos val="ctr"/>
          <c:showLegendKey val="0"/>
          <c:showVal val="1"/>
          <c:showCatName val="0"/>
          <c:showSerName val="0"/>
          <c:showPercent val="0"/>
          <c:showBubbleSize val="0"/>
        </c:dLbls>
        <c:gapWidth val="150"/>
        <c:overlap val="100"/>
        <c:axId val="2063185256"/>
        <c:axId val="2098716720"/>
      </c:barChart>
      <c:catAx>
        <c:axId val="2063185256"/>
        <c:scaling>
          <c:orientation val="minMax"/>
        </c:scaling>
        <c:delete val="1"/>
        <c:axPos val="b"/>
        <c:numFmt formatCode="General" sourceLinked="1"/>
        <c:majorTickMark val="none"/>
        <c:minorTickMark val="none"/>
        <c:tickLblPos val="nextTo"/>
        <c:crossAx val="2098716720"/>
        <c:crosses val="autoZero"/>
        <c:auto val="1"/>
        <c:lblAlgn val="ctr"/>
        <c:lblOffset val="100"/>
        <c:noMultiLvlLbl val="0"/>
      </c:catAx>
      <c:valAx>
        <c:axId val="20987167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[€/kg H2]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6318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HOME!$A$32</c:f>
              <c:strCache>
                <c:ptCount val="1"/>
                <c:pt idx="0">
                  <c:v>LCOHprod [€/kg]</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N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HOME!$B$32</c:f>
              <c:numCache>
                <c:formatCode>0.00</c:formatCode>
                <c:ptCount val="1"/>
                <c:pt idx="0">
                  <c:v>5.0074246960674991</c:v>
                </c:pt>
              </c:numCache>
            </c:numRef>
          </c:val>
          <c:extLst>
            <c:ext xmlns:c16="http://schemas.microsoft.com/office/drawing/2014/chart" uri="{C3380CC4-5D6E-409C-BE32-E72D297353CC}">
              <c16:uniqueId val="{00000000-08FD-5A47-A7B1-3ADC82FCD7DD}"/>
            </c:ext>
          </c:extLst>
        </c:ser>
        <c:ser>
          <c:idx val="1"/>
          <c:order val="1"/>
          <c:tx>
            <c:strRef>
              <c:f>HOME!$A$33</c:f>
              <c:strCache>
                <c:ptCount val="1"/>
                <c:pt idx="0">
                  <c:v>LCOHT&amp;D, w/out conv [€/kg]</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N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HOME!$B$33</c:f>
              <c:numCache>
                <c:formatCode>0.00</c:formatCode>
                <c:ptCount val="1"/>
                <c:pt idx="0">
                  <c:v>0.65887697604133755</c:v>
                </c:pt>
              </c:numCache>
            </c:numRef>
          </c:val>
          <c:extLst>
            <c:ext xmlns:c16="http://schemas.microsoft.com/office/drawing/2014/chart" uri="{C3380CC4-5D6E-409C-BE32-E72D297353CC}">
              <c16:uniqueId val="{00000001-08FD-5A47-A7B1-3ADC82FCD7DD}"/>
            </c:ext>
          </c:extLst>
        </c:ser>
        <c:ser>
          <c:idx val="2"/>
          <c:order val="2"/>
          <c:tx>
            <c:strRef>
              <c:f>HOME!$A$34</c:f>
              <c:strCache>
                <c:ptCount val="1"/>
                <c:pt idx="0">
                  <c:v>LCOHstor, w/out conv [€/kg]</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N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HOME!$B$34</c:f>
              <c:numCache>
                <c:formatCode>0.00</c:formatCode>
                <c:ptCount val="1"/>
                <c:pt idx="0">
                  <c:v>0.37558026102074277</c:v>
                </c:pt>
              </c:numCache>
            </c:numRef>
          </c:val>
          <c:extLst>
            <c:ext xmlns:c16="http://schemas.microsoft.com/office/drawing/2014/chart" uri="{C3380CC4-5D6E-409C-BE32-E72D297353CC}">
              <c16:uniqueId val="{00000002-08FD-5A47-A7B1-3ADC82FCD7DD}"/>
            </c:ext>
          </c:extLst>
        </c:ser>
        <c:ser>
          <c:idx val="3"/>
          <c:order val="3"/>
          <c:tx>
            <c:strRef>
              <c:f>HOME!$A$35</c:f>
              <c:strCache>
                <c:ptCount val="1"/>
                <c:pt idx="0">
                  <c:v>LCOHconv [€/kg]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N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HOME!$B$35</c:f>
              <c:numCache>
                <c:formatCode>0.00</c:formatCode>
                <c:ptCount val="1"/>
                <c:pt idx="0">
                  <c:v>2.4135175342363522</c:v>
                </c:pt>
              </c:numCache>
            </c:numRef>
          </c:val>
          <c:extLst>
            <c:ext xmlns:c16="http://schemas.microsoft.com/office/drawing/2014/chart" uri="{C3380CC4-5D6E-409C-BE32-E72D297353CC}">
              <c16:uniqueId val="{00000000-89FF-D149-BA09-DEBC986204FB}"/>
            </c:ext>
          </c:extLst>
        </c:ser>
        <c:dLbls>
          <c:dLblPos val="ctr"/>
          <c:showLegendKey val="0"/>
          <c:showVal val="1"/>
          <c:showCatName val="0"/>
          <c:showSerName val="0"/>
          <c:showPercent val="0"/>
          <c:showBubbleSize val="0"/>
        </c:dLbls>
        <c:gapWidth val="150"/>
        <c:overlap val="100"/>
        <c:axId val="1559323727"/>
        <c:axId val="1560158975"/>
      </c:barChart>
      <c:catAx>
        <c:axId val="1559323727"/>
        <c:scaling>
          <c:orientation val="minMax"/>
        </c:scaling>
        <c:delete val="1"/>
        <c:axPos val="l"/>
        <c:numFmt formatCode="General" sourceLinked="1"/>
        <c:majorTickMark val="none"/>
        <c:minorTickMark val="none"/>
        <c:tickLblPos val="nextTo"/>
        <c:crossAx val="1560158975"/>
        <c:crosses val="autoZero"/>
        <c:auto val="1"/>
        <c:lblAlgn val="ctr"/>
        <c:lblOffset val="100"/>
        <c:noMultiLvlLbl val="0"/>
      </c:catAx>
      <c:valAx>
        <c:axId val="1560158975"/>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55932372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HOME!$G$106</c:f>
              <c:strCache>
                <c:ptCount val="1"/>
                <c:pt idx="0">
                  <c:v>Distribution [€/kg]</c:v>
                </c:pt>
              </c:strCache>
            </c:strRef>
          </c:tx>
          <c:spPr>
            <a:solidFill>
              <a:schemeClr val="accent4">
                <a:lumMod val="40000"/>
                <a:lumOff val="60000"/>
              </a:schemeClr>
            </a:solidFill>
            <a:ln>
              <a:noFill/>
            </a:ln>
            <a:effectLst/>
          </c:spPr>
          <c:invertIfNegative val="0"/>
          <c:dLbls>
            <c:dLbl>
              <c:idx val="0"/>
              <c:tx>
                <c:rich>
                  <a:bodyPr/>
                  <a:lstStyle/>
                  <a:p>
                    <a:fld id="{20BB1C6A-4620-6F45-BE1B-D029C855D436}"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F70-E547-A6A9-FACBC98F71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HOME!$H$106</c:f>
              <c:numCache>
                <c:formatCode>0.000</c:formatCode>
                <c:ptCount val="1"/>
                <c:pt idx="0">
                  <c:v>0.65887697604133755</c:v>
                </c:pt>
              </c:numCache>
            </c:numRef>
          </c:val>
          <c:extLst>
            <c:ext xmlns:c15="http://schemas.microsoft.com/office/drawing/2012/chart" uri="{02D57815-91ED-43cb-92C2-25804820EDAC}">
              <c15:datalabelsRange>
                <c15:f>HOME!$K$106</c15:f>
                <c15:dlblRangeCache>
                  <c:ptCount val="1"/>
                  <c:pt idx="0">
                    <c:v>93%</c:v>
                  </c:pt>
                </c15:dlblRangeCache>
              </c15:datalabelsRange>
            </c:ext>
            <c:ext xmlns:c16="http://schemas.microsoft.com/office/drawing/2014/chart" uri="{C3380CC4-5D6E-409C-BE32-E72D297353CC}">
              <c16:uniqueId val="{00000001-4F70-E547-A6A9-FACBC98F711B}"/>
            </c:ext>
          </c:extLst>
        </c:ser>
        <c:ser>
          <c:idx val="1"/>
          <c:order val="1"/>
          <c:tx>
            <c:strRef>
              <c:f>HOME!$G$107</c:f>
              <c:strCache>
                <c:ptCount val="1"/>
                <c:pt idx="0">
                  <c:v>Compression [€/kg]</c:v>
                </c:pt>
              </c:strCache>
            </c:strRef>
          </c:tx>
          <c:spPr>
            <a:solidFill>
              <a:schemeClr val="accent2">
                <a:lumMod val="40000"/>
                <a:lumOff val="60000"/>
              </a:schemeClr>
            </a:solidFill>
            <a:ln>
              <a:noFill/>
            </a:ln>
            <a:effectLst/>
          </c:spPr>
          <c:invertIfNegative val="0"/>
          <c:dLbls>
            <c:dLbl>
              <c:idx val="0"/>
              <c:tx>
                <c:rich>
                  <a:bodyPr/>
                  <a:lstStyle/>
                  <a:p>
                    <a:fld id="{BAAED154-4A3E-7C4D-8EE2-C11983BFE76E}"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F70-E547-A6A9-FACBC98F71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HOME!$H$107</c:f>
              <c:numCache>
                <c:formatCode>0.000</c:formatCode>
                <c:ptCount val="1"/>
                <c:pt idx="0">
                  <c:v>4.7221824180951867E-2</c:v>
                </c:pt>
              </c:numCache>
            </c:numRef>
          </c:val>
          <c:extLst>
            <c:ext xmlns:c15="http://schemas.microsoft.com/office/drawing/2012/chart" uri="{02D57815-91ED-43cb-92C2-25804820EDAC}">
              <c15:datalabelsRange>
                <c15:f>HOME!$K$107</c15:f>
                <c15:dlblRangeCache>
                  <c:ptCount val="1"/>
                  <c:pt idx="0">
                    <c:v>7%</c:v>
                  </c:pt>
                </c15:dlblRangeCache>
              </c15:datalabelsRange>
            </c:ext>
            <c:ext xmlns:c16="http://schemas.microsoft.com/office/drawing/2014/chart" uri="{C3380CC4-5D6E-409C-BE32-E72D297353CC}">
              <c16:uniqueId val="{00000003-4F70-E547-A6A9-FACBC98F711B}"/>
            </c:ext>
          </c:extLst>
        </c:ser>
        <c:dLbls>
          <c:dLblPos val="ctr"/>
          <c:showLegendKey val="0"/>
          <c:showVal val="1"/>
          <c:showCatName val="0"/>
          <c:showSerName val="0"/>
          <c:showPercent val="0"/>
          <c:showBubbleSize val="0"/>
        </c:dLbls>
        <c:gapWidth val="150"/>
        <c:overlap val="100"/>
        <c:axId val="2063185256"/>
        <c:axId val="2098716720"/>
      </c:barChart>
      <c:catAx>
        <c:axId val="2063185256"/>
        <c:scaling>
          <c:orientation val="minMax"/>
        </c:scaling>
        <c:delete val="1"/>
        <c:axPos val="b"/>
        <c:numFmt formatCode="General" sourceLinked="1"/>
        <c:majorTickMark val="none"/>
        <c:minorTickMark val="none"/>
        <c:tickLblPos val="nextTo"/>
        <c:crossAx val="2098716720"/>
        <c:crosses val="autoZero"/>
        <c:auto val="1"/>
        <c:lblAlgn val="ctr"/>
        <c:lblOffset val="100"/>
        <c:noMultiLvlLbl val="0"/>
      </c:catAx>
      <c:valAx>
        <c:axId val="20987167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[€/kg H2]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6318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HOME!$G$120</c:f>
              <c:strCache>
                <c:ptCount val="1"/>
                <c:pt idx="0">
                  <c:v>Import terminal [€/kg]</c:v>
                </c:pt>
              </c:strCache>
            </c:strRef>
          </c:tx>
          <c:spPr>
            <a:solidFill>
              <a:schemeClr val="accent5">
                <a:lumMod val="40000"/>
                <a:lumOff val="60000"/>
              </a:schemeClr>
            </a:solidFill>
            <a:ln>
              <a:noFill/>
            </a:ln>
            <a:effectLst/>
          </c:spPr>
          <c:invertIfNegative val="0"/>
          <c:dLbls>
            <c:dLbl>
              <c:idx val="0"/>
              <c:tx>
                <c:rich>
                  <a:bodyPr/>
                  <a:lstStyle/>
                  <a:p>
                    <a:fld id="{93045D9D-799E-354A-89E4-922961D73947}"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5C7-8C4B-9C84-C97F22AFFF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HOME!$H$120</c:f>
              <c:numCache>
                <c:formatCode>0.000</c:formatCode>
                <c:ptCount val="1"/>
                <c:pt idx="0">
                  <c:v>0</c:v>
                </c:pt>
              </c:numCache>
            </c:numRef>
          </c:val>
          <c:extLst>
            <c:ext xmlns:c15="http://schemas.microsoft.com/office/drawing/2012/chart" uri="{02D57815-91ED-43cb-92C2-25804820EDAC}">
              <c15:datalabelsRange>
                <c15:f>HOME!$K$120</c15:f>
                <c15:dlblRangeCache>
                  <c:ptCount val="1"/>
                  <c:pt idx="0">
                    <c:v>0%</c:v>
                  </c:pt>
                </c15:dlblRangeCache>
              </c15:datalabelsRange>
            </c:ext>
            <c:ext xmlns:c16="http://schemas.microsoft.com/office/drawing/2014/chart" uri="{C3380CC4-5D6E-409C-BE32-E72D297353CC}">
              <c16:uniqueId val="{00000001-95C7-8C4B-9C84-C97F22AFFF7B}"/>
            </c:ext>
          </c:extLst>
        </c:ser>
        <c:ser>
          <c:idx val="1"/>
          <c:order val="1"/>
          <c:tx>
            <c:strRef>
              <c:f>HOME!$G$121</c:f>
              <c:strCache>
                <c:ptCount val="1"/>
                <c:pt idx="0">
                  <c:v>Export terminal [€/kg]</c:v>
                </c:pt>
              </c:strCache>
            </c:strRef>
          </c:tx>
          <c:spPr>
            <a:solidFill>
              <a:schemeClr val="accent6">
                <a:lumMod val="40000"/>
                <a:lumOff val="60000"/>
              </a:schemeClr>
            </a:solidFill>
            <a:ln>
              <a:noFill/>
            </a:ln>
            <a:effectLst/>
          </c:spPr>
          <c:invertIfNegative val="0"/>
          <c:dLbls>
            <c:dLbl>
              <c:idx val="0"/>
              <c:tx>
                <c:rich>
                  <a:bodyPr/>
                  <a:lstStyle/>
                  <a:p>
                    <a:fld id="{0A6304B4-9E4F-2740-B3B3-C7D0F8117AEC}"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5C7-8C4B-9C84-C97F22AFFF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HOME!$H$121</c:f>
              <c:numCache>
                <c:formatCode>0.000</c:formatCode>
                <c:ptCount val="1"/>
                <c:pt idx="0">
                  <c:v>0</c:v>
                </c:pt>
              </c:numCache>
            </c:numRef>
          </c:val>
          <c:extLst>
            <c:ext xmlns:c15="http://schemas.microsoft.com/office/drawing/2012/chart" uri="{02D57815-91ED-43cb-92C2-25804820EDAC}">
              <c15:datalabelsRange>
                <c15:f>HOME!$K$121</c15:f>
                <c15:dlblRangeCache>
                  <c:ptCount val="1"/>
                  <c:pt idx="0">
                    <c:v>0%</c:v>
                  </c:pt>
                </c15:dlblRangeCache>
              </c15:datalabelsRange>
            </c:ext>
            <c:ext xmlns:c16="http://schemas.microsoft.com/office/drawing/2014/chart" uri="{C3380CC4-5D6E-409C-BE32-E72D297353CC}">
              <c16:uniqueId val="{00000003-95C7-8C4B-9C84-C97F22AFFF7B}"/>
            </c:ext>
          </c:extLst>
        </c:ser>
        <c:dLbls>
          <c:dLblPos val="ctr"/>
          <c:showLegendKey val="0"/>
          <c:showVal val="1"/>
          <c:showCatName val="0"/>
          <c:showSerName val="0"/>
          <c:showPercent val="0"/>
          <c:showBubbleSize val="0"/>
        </c:dLbls>
        <c:gapWidth val="150"/>
        <c:overlap val="100"/>
        <c:axId val="2063185256"/>
        <c:axId val="2098716720"/>
      </c:barChart>
      <c:catAx>
        <c:axId val="2063185256"/>
        <c:scaling>
          <c:orientation val="minMax"/>
        </c:scaling>
        <c:delete val="1"/>
        <c:axPos val="b"/>
        <c:numFmt formatCode="General" sourceLinked="1"/>
        <c:majorTickMark val="none"/>
        <c:minorTickMark val="none"/>
        <c:tickLblPos val="nextTo"/>
        <c:crossAx val="2098716720"/>
        <c:crosses val="autoZero"/>
        <c:auto val="1"/>
        <c:lblAlgn val="ctr"/>
        <c:lblOffset val="100"/>
        <c:noMultiLvlLbl val="0"/>
      </c:catAx>
      <c:valAx>
        <c:axId val="20987167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[€/kg H2]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6318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HOME!$G$137</c:f>
              <c:strCache>
                <c:ptCount val="1"/>
                <c:pt idx="0">
                  <c:v>Storage [€/kg]</c:v>
                </c:pt>
              </c:strCache>
            </c:strRef>
          </c:tx>
          <c:spPr>
            <a:solidFill>
              <a:schemeClr val="accent4">
                <a:lumMod val="40000"/>
                <a:lumOff val="60000"/>
              </a:schemeClr>
            </a:solidFill>
            <a:ln>
              <a:noFill/>
            </a:ln>
            <a:effectLst/>
          </c:spPr>
          <c:invertIfNegative val="0"/>
          <c:dLbls>
            <c:dLbl>
              <c:idx val="0"/>
              <c:tx>
                <c:rich>
                  <a:bodyPr/>
                  <a:lstStyle/>
                  <a:p>
                    <a:fld id="{0FD1ECDD-7B3D-194A-B0BA-DF45C4030322}"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CA1-EB4E-A542-882FB71698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HOME!$H$137</c:f>
              <c:numCache>
                <c:formatCode>0.000</c:formatCode>
                <c:ptCount val="1"/>
                <c:pt idx="0">
                  <c:v>0.37558026102074277</c:v>
                </c:pt>
              </c:numCache>
            </c:numRef>
          </c:val>
          <c:extLst>
            <c:ext xmlns:c15="http://schemas.microsoft.com/office/drawing/2012/chart" uri="{02D57815-91ED-43cb-92C2-25804820EDAC}">
              <c15:datalabelsRange>
                <c15:f>HOME!$K$137</c15:f>
                <c15:dlblRangeCache>
                  <c:ptCount val="1"/>
                  <c:pt idx="0">
                    <c:v>73%</c:v>
                  </c:pt>
                </c15:dlblRangeCache>
              </c15:datalabelsRange>
            </c:ext>
            <c:ext xmlns:c16="http://schemas.microsoft.com/office/drawing/2014/chart" uri="{C3380CC4-5D6E-409C-BE32-E72D297353CC}">
              <c16:uniqueId val="{00000001-6CA1-EB4E-A542-882FB716981B}"/>
            </c:ext>
          </c:extLst>
        </c:ser>
        <c:ser>
          <c:idx val="1"/>
          <c:order val="1"/>
          <c:tx>
            <c:strRef>
              <c:f>HOME!$G$138</c:f>
              <c:strCache>
                <c:ptCount val="1"/>
                <c:pt idx="0">
                  <c:v>Compression [€/kg]</c:v>
                </c:pt>
              </c:strCache>
            </c:strRef>
          </c:tx>
          <c:spPr>
            <a:solidFill>
              <a:schemeClr val="accent2">
                <a:lumMod val="40000"/>
                <a:lumOff val="60000"/>
              </a:schemeClr>
            </a:solidFill>
            <a:ln>
              <a:noFill/>
            </a:ln>
            <a:effectLst/>
          </c:spPr>
          <c:invertIfNegative val="0"/>
          <c:dLbls>
            <c:dLbl>
              <c:idx val="0"/>
              <c:tx>
                <c:rich>
                  <a:bodyPr/>
                  <a:lstStyle/>
                  <a:p>
                    <a:fld id="{C06505C7-53B5-3546-905B-EE4452F02D8E}"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CA1-EB4E-A542-882FB71698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HOME!$H$138</c:f>
              <c:numCache>
                <c:formatCode>0.000</c:formatCode>
                <c:ptCount val="1"/>
                <c:pt idx="0">
                  <c:v>0.13821046789448621</c:v>
                </c:pt>
              </c:numCache>
            </c:numRef>
          </c:val>
          <c:extLst>
            <c:ext xmlns:c15="http://schemas.microsoft.com/office/drawing/2012/chart" uri="{02D57815-91ED-43cb-92C2-25804820EDAC}">
              <c15:datalabelsRange>
                <c15:f>HOME!$K$138</c15:f>
                <c15:dlblRangeCache>
                  <c:ptCount val="1"/>
                  <c:pt idx="0">
                    <c:v>27%</c:v>
                  </c:pt>
                </c15:dlblRangeCache>
              </c15:datalabelsRange>
            </c:ext>
            <c:ext xmlns:c16="http://schemas.microsoft.com/office/drawing/2014/chart" uri="{C3380CC4-5D6E-409C-BE32-E72D297353CC}">
              <c16:uniqueId val="{00000003-6CA1-EB4E-A542-882FB716981B}"/>
            </c:ext>
          </c:extLst>
        </c:ser>
        <c:dLbls>
          <c:dLblPos val="ctr"/>
          <c:showLegendKey val="0"/>
          <c:showVal val="1"/>
          <c:showCatName val="0"/>
          <c:showSerName val="0"/>
          <c:showPercent val="0"/>
          <c:showBubbleSize val="0"/>
        </c:dLbls>
        <c:gapWidth val="150"/>
        <c:overlap val="100"/>
        <c:axId val="2063185256"/>
        <c:axId val="2098716720"/>
      </c:barChart>
      <c:catAx>
        <c:axId val="2063185256"/>
        <c:scaling>
          <c:orientation val="minMax"/>
        </c:scaling>
        <c:delete val="1"/>
        <c:axPos val="b"/>
        <c:numFmt formatCode="General" sourceLinked="1"/>
        <c:majorTickMark val="none"/>
        <c:minorTickMark val="none"/>
        <c:tickLblPos val="nextTo"/>
        <c:crossAx val="2098716720"/>
        <c:crosses val="autoZero"/>
        <c:auto val="1"/>
        <c:lblAlgn val="ctr"/>
        <c:lblOffset val="100"/>
        <c:noMultiLvlLbl val="0"/>
      </c:catAx>
      <c:valAx>
        <c:axId val="20987167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[€/kg H2]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6318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HOME!$G$161</c:f>
              <c:strCache>
                <c:ptCount val="1"/>
                <c:pt idx="0">
                  <c:v>Reconversion [€/kg]</c:v>
                </c:pt>
              </c:strCache>
            </c:strRef>
          </c:tx>
          <c:spPr>
            <a:solidFill>
              <a:schemeClr val="accent4">
                <a:lumMod val="40000"/>
                <a:lumOff val="60000"/>
              </a:schemeClr>
            </a:solidFill>
            <a:ln>
              <a:noFill/>
            </a:ln>
            <a:effectLst/>
          </c:spPr>
          <c:invertIfNegative val="0"/>
          <c:dLbls>
            <c:dLbl>
              <c:idx val="0"/>
              <c:tx>
                <c:rich>
                  <a:bodyPr/>
                  <a:lstStyle/>
                  <a:p>
                    <a:fld id="{800CF888-3753-BC41-9562-D887E54167B4}" type="CELLRANGE">
                      <a:rPr lang="en-US" baseline="0"/>
                      <a:pPr/>
                      <a:t>[CELLRANGE]</a:t>
                    </a:fld>
                    <a:r>
                      <a:rPr lang="en-US" baseline="0"/>
                      <a:t>; </a:t>
                    </a:r>
                    <a:fld id="{6AAD53CE-AB6F-2249-B0EF-6AD9587E4078}" type="VALUE">
                      <a:rPr lang="en-US" baseline="0"/>
                      <a:pPr/>
                      <a:t>[VALUE]</a:t>
                    </a:fld>
                    <a:endParaRPr lang="en-US" baseline="0"/>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6B7-D54A-A125-20EE164950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HOME!$H$161</c:f>
              <c:numCache>
                <c:formatCode>0.000</c:formatCode>
                <c:ptCount val="1"/>
                <c:pt idx="0">
                  <c:v>0</c:v>
                </c:pt>
              </c:numCache>
            </c:numRef>
          </c:val>
          <c:extLst>
            <c:ext xmlns:c15="http://schemas.microsoft.com/office/drawing/2012/chart" uri="{02D57815-91ED-43cb-92C2-25804820EDAC}">
              <c15:datalabelsRange>
                <c15:f>HOME!$K$137</c15:f>
                <c15:dlblRangeCache>
                  <c:ptCount val="1"/>
                  <c:pt idx="0">
                    <c:v>73%</c:v>
                  </c:pt>
                </c15:dlblRangeCache>
              </c15:datalabelsRange>
            </c:ext>
            <c:ext xmlns:c16="http://schemas.microsoft.com/office/drawing/2014/chart" uri="{C3380CC4-5D6E-409C-BE32-E72D297353CC}">
              <c16:uniqueId val="{00000001-56B7-D54A-A125-20EE16495015}"/>
            </c:ext>
          </c:extLst>
        </c:ser>
        <c:ser>
          <c:idx val="1"/>
          <c:order val="1"/>
          <c:tx>
            <c:strRef>
              <c:f>HOME!$G$162</c:f>
              <c:strCache>
                <c:ptCount val="1"/>
                <c:pt idx="0">
                  <c:v>Compression [€/kg]</c:v>
                </c:pt>
              </c:strCache>
            </c:strRef>
          </c:tx>
          <c:spPr>
            <a:solidFill>
              <a:schemeClr val="accent2">
                <a:lumMod val="40000"/>
                <a:lumOff val="60000"/>
              </a:schemeClr>
            </a:solidFill>
            <a:ln>
              <a:noFill/>
            </a:ln>
            <a:effectLst/>
          </c:spPr>
          <c:invertIfNegative val="0"/>
          <c:dLbls>
            <c:dLbl>
              <c:idx val="0"/>
              <c:tx>
                <c:rich>
                  <a:bodyPr/>
                  <a:lstStyle/>
                  <a:p>
                    <a:fld id="{51D6CFAC-3408-BC46-9723-E3809FB08D94}" type="CELLRANGE">
                      <a:rPr lang="en-US" baseline="0"/>
                      <a:pPr/>
                      <a:t>[CELLRANGE]</a:t>
                    </a:fld>
                    <a:r>
                      <a:rPr lang="en-US" baseline="0"/>
                      <a:t>; </a:t>
                    </a:r>
                    <a:fld id="{8468E580-570E-8245-A5A7-93680EF2223F}" type="VALUE">
                      <a:rPr lang="en-US" baseline="0"/>
                      <a:pPr/>
                      <a:t>[VALUE]</a:t>
                    </a:fld>
                    <a:endParaRPr lang="en-US" baseline="0"/>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6B7-D54A-A125-20EE164950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HOME!$H$162</c:f>
              <c:numCache>
                <c:formatCode>0.000</c:formatCode>
                <c:ptCount val="1"/>
                <c:pt idx="0">
                  <c:v>2.2280852421609141</c:v>
                </c:pt>
              </c:numCache>
            </c:numRef>
          </c:val>
          <c:extLst>
            <c:ext xmlns:c15="http://schemas.microsoft.com/office/drawing/2012/chart" uri="{02D57815-91ED-43cb-92C2-25804820EDAC}">
              <c15:datalabelsRange>
                <c15:f>HOME!$K$138</c15:f>
                <c15:dlblRangeCache>
                  <c:ptCount val="1"/>
                  <c:pt idx="0">
                    <c:v>27%</c:v>
                  </c:pt>
                </c15:dlblRangeCache>
              </c15:datalabelsRange>
            </c:ext>
            <c:ext xmlns:c16="http://schemas.microsoft.com/office/drawing/2014/chart" uri="{C3380CC4-5D6E-409C-BE32-E72D297353CC}">
              <c16:uniqueId val="{00000003-56B7-D54A-A125-20EE16495015}"/>
            </c:ext>
          </c:extLst>
        </c:ser>
        <c:dLbls>
          <c:dLblPos val="ctr"/>
          <c:showLegendKey val="0"/>
          <c:showVal val="1"/>
          <c:showCatName val="0"/>
          <c:showSerName val="0"/>
          <c:showPercent val="0"/>
          <c:showBubbleSize val="0"/>
        </c:dLbls>
        <c:gapWidth val="150"/>
        <c:overlap val="100"/>
        <c:axId val="2063185256"/>
        <c:axId val="2098716720"/>
      </c:barChart>
      <c:catAx>
        <c:axId val="2063185256"/>
        <c:scaling>
          <c:orientation val="minMax"/>
        </c:scaling>
        <c:delete val="1"/>
        <c:axPos val="b"/>
        <c:numFmt formatCode="General" sourceLinked="1"/>
        <c:majorTickMark val="none"/>
        <c:minorTickMark val="none"/>
        <c:tickLblPos val="nextTo"/>
        <c:crossAx val="2098716720"/>
        <c:crosses val="autoZero"/>
        <c:auto val="1"/>
        <c:lblAlgn val="ctr"/>
        <c:lblOffset val="100"/>
        <c:noMultiLvlLbl val="0"/>
      </c:catAx>
      <c:valAx>
        <c:axId val="20987167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[€/kg H2]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6318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28817</xdr:colOff>
      <xdr:row>53</xdr:row>
      <xdr:rowOff>8385</xdr:rowOff>
    </xdr:from>
    <xdr:to>
      <xdr:col>11</xdr:col>
      <xdr:colOff>928990</xdr:colOff>
      <xdr:row>66</xdr:row>
      <xdr:rowOff>0</xdr:rowOff>
    </xdr:to>
    <xdr:graphicFrame macro="">
      <xdr:nvGraphicFramePr>
        <xdr:cNvPr id="2" name="Chart 1">
          <a:extLst>
            <a:ext uri="{FF2B5EF4-FFF2-40B4-BE49-F238E27FC236}">
              <a16:creationId xmlns:a16="http://schemas.microsoft.com/office/drawing/2014/main" id="{507B8D1E-4C7D-4F43-A925-BA556BA90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14321</xdr:colOff>
      <xdr:row>76</xdr:row>
      <xdr:rowOff>26211</xdr:rowOff>
    </xdr:from>
    <xdr:to>
      <xdr:col>11</xdr:col>
      <xdr:colOff>914494</xdr:colOff>
      <xdr:row>89</xdr:row>
      <xdr:rowOff>57548</xdr:rowOff>
    </xdr:to>
    <xdr:graphicFrame macro="">
      <xdr:nvGraphicFramePr>
        <xdr:cNvPr id="4" name="Chart 3">
          <a:extLst>
            <a:ext uri="{FF2B5EF4-FFF2-40B4-BE49-F238E27FC236}">
              <a16:creationId xmlns:a16="http://schemas.microsoft.com/office/drawing/2014/main" id="{712BB471-98EF-FA4A-BB8E-BF01D4E5C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37</xdr:row>
      <xdr:rowOff>39345</xdr:rowOff>
    </xdr:from>
    <xdr:to>
      <xdr:col>6</xdr:col>
      <xdr:colOff>1894353</xdr:colOff>
      <xdr:row>44</xdr:row>
      <xdr:rowOff>52046</xdr:rowOff>
    </xdr:to>
    <xdr:graphicFrame macro="">
      <xdr:nvGraphicFramePr>
        <xdr:cNvPr id="5" name="Chart 2">
          <a:extLst>
            <a:ext uri="{FF2B5EF4-FFF2-40B4-BE49-F238E27FC236}">
              <a16:creationId xmlns:a16="http://schemas.microsoft.com/office/drawing/2014/main" id="{8B5B8B8E-5CCB-EA5F-2B38-1C512FCB2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2709334</xdr:colOff>
      <xdr:row>97</xdr:row>
      <xdr:rowOff>67734</xdr:rowOff>
    </xdr:from>
    <xdr:to>
      <xdr:col>11</xdr:col>
      <xdr:colOff>832440</xdr:colOff>
      <xdr:row>108</xdr:row>
      <xdr:rowOff>16934</xdr:rowOff>
    </xdr:to>
    <xdr:graphicFrame macro="">
      <xdr:nvGraphicFramePr>
        <xdr:cNvPr id="7" name="Chart 6">
          <a:extLst>
            <a:ext uri="{FF2B5EF4-FFF2-40B4-BE49-F238E27FC236}">
              <a16:creationId xmlns:a16="http://schemas.microsoft.com/office/drawing/2014/main" id="{42AF503D-028D-0446-A2AC-7EE3D872F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2641601</xdr:colOff>
      <xdr:row>113</xdr:row>
      <xdr:rowOff>16933</xdr:rowOff>
    </xdr:from>
    <xdr:to>
      <xdr:col>11</xdr:col>
      <xdr:colOff>764707</xdr:colOff>
      <xdr:row>123</xdr:row>
      <xdr:rowOff>169333</xdr:rowOff>
    </xdr:to>
    <xdr:graphicFrame macro="">
      <xdr:nvGraphicFramePr>
        <xdr:cNvPr id="8" name="Chart 7">
          <a:extLst>
            <a:ext uri="{FF2B5EF4-FFF2-40B4-BE49-F238E27FC236}">
              <a16:creationId xmlns:a16="http://schemas.microsoft.com/office/drawing/2014/main" id="{61012AEF-4C01-2A4D-BA3F-A642FBA72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2641600</xdr:colOff>
      <xdr:row>128</xdr:row>
      <xdr:rowOff>-1</xdr:rowOff>
    </xdr:from>
    <xdr:to>
      <xdr:col>11</xdr:col>
      <xdr:colOff>764706</xdr:colOff>
      <xdr:row>139</xdr:row>
      <xdr:rowOff>169333</xdr:rowOff>
    </xdr:to>
    <xdr:graphicFrame macro="">
      <xdr:nvGraphicFramePr>
        <xdr:cNvPr id="9" name="Chart 8">
          <a:extLst>
            <a:ext uri="{FF2B5EF4-FFF2-40B4-BE49-F238E27FC236}">
              <a16:creationId xmlns:a16="http://schemas.microsoft.com/office/drawing/2014/main" id="{822D269A-187D-EF4A-BBBF-B6BE1A2BF4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2573866</xdr:colOff>
      <xdr:row>152</xdr:row>
      <xdr:rowOff>203199</xdr:rowOff>
    </xdr:from>
    <xdr:to>
      <xdr:col>11</xdr:col>
      <xdr:colOff>696972</xdr:colOff>
      <xdr:row>164</xdr:row>
      <xdr:rowOff>152400</xdr:rowOff>
    </xdr:to>
    <xdr:graphicFrame macro="">
      <xdr:nvGraphicFramePr>
        <xdr:cNvPr id="10" name="Chart 9">
          <a:extLst>
            <a:ext uri="{FF2B5EF4-FFF2-40B4-BE49-F238E27FC236}">
              <a16:creationId xmlns:a16="http://schemas.microsoft.com/office/drawing/2014/main" id="{C8C4780C-CE49-2345-8ABB-C61BC477D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fons/AppData/Roaming/Microsoft/AddIns/CoolProp.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CoolProp"/>
    </sheetNames>
    <definedNames>
      <definedName name="PropsSI"/>
    </definedNames>
    <sheetDataSet>
      <sheetData sheetId="0"/>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Pietro Dogliani" id="{41060859-3107-8046-BF35-39227204AD30}" userId="7b5dda22c58d6417" providerId="Windows Live"/>
  <person displayName="Afonso Canha" id="{069B25EE-630A-478B-9263-80E9F8FBBFD7}" userId="a5c3ad3cbf16eb1d"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76859ED-1758-3942-A7AC-B334CDA75923}" name="Tb_LCOE" displayName="Tb_LCOE" ref="A5:G19" totalsRowShown="0" headerRowBorderDxfId="347">
  <autoFilter ref="A5:G19" xr:uid="{176859ED-1758-3942-A7AC-B334CDA75923}"/>
  <tableColumns count="7">
    <tableColumn id="1" xr3:uid="{F6D3F2E3-3582-9243-9F2D-F43C6C1BA5C5}" name="Year" dataDxfId="346"/>
    <tableColumn id="2" xr3:uid="{F360C837-7AD4-4346-BC1F-5E0BE4849B5C}" name="CAPEX Solar" dataDxfId="345">
      <calculatedColumnFormula>$O$2*(1+$O$6)^($O$5*(A6-$A$6))</calculatedColumnFormula>
    </tableColumn>
    <tableColumn id="3" xr3:uid="{C4E8CC22-8850-274D-9A1E-3684401A7EDE}" name="LCOESolar" dataDxfId="344">
      <calculatedColumnFormula>(O$10+O$7)*B6/$O$12/8760*1000</calculatedColumnFormula>
    </tableColumn>
    <tableColumn id="4" xr3:uid="{5DF1905C-F3ED-214C-928D-8CFF453A258F}" name="CAPEX OnW" dataDxfId="343">
      <calculatedColumnFormula>$S$2*(1+$S$6)^($S$5*(A6-$A$6))</calculatedColumnFormula>
    </tableColumn>
    <tableColumn id="5" xr3:uid="{2359545E-6C53-A54F-BFC4-FC33CFC8D4CB}" name="LCOEOnshore wind" dataDxfId="342">
      <calculatedColumnFormula>(S$10+S$7)*D6/$S$12/8760*1000</calculatedColumnFormula>
    </tableColumn>
    <tableColumn id="6" xr3:uid="{B7BD7EB2-4BA5-4D4B-A2B2-C8EAC36B3453}" name="CAPEX OffW" dataDxfId="341">
      <calculatedColumnFormula>$W$2*(1+$W$6)^($W$5*(A6-$A$6))</calculatedColumnFormula>
    </tableColumn>
    <tableColumn id="7" xr3:uid="{AD858980-DFDD-EF4A-A717-EF2B8EEC8C3B}" name="LCOEOffshore wind" dataDxfId="340">
      <calculatedColumnFormula>(W$10+W$7)*F6/$W$12/8760*1000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B7352D1-0CB0-1843-BEFA-F621EC4BAF3E}" name="Tb_ELv" displayName="Tb_ELv" ref="G4:P26" totalsRowShown="0" headerRowDxfId="339" headerRowBorderDxfId="338">
  <autoFilter ref="G4:P26" xr:uid="{EB7352D1-0CB0-1843-BEFA-F621EC4BAF3E}"/>
  <tableColumns count="10">
    <tableColumn id="1" xr3:uid="{EB1EDD07-23E1-7248-BF6C-03AF419C3AD8}" name="Parameter" dataDxfId="337"/>
    <tableColumn id="2" xr3:uid="{8D4A6DF5-563A-244F-9938-5EE37B714969}" name="Unit of measure" dataDxfId="336"/>
    <tableColumn id="3" xr3:uid="{344A32B1-59C7-F949-88BC-FED2F263C84B}" name="AEL" dataDxfId="335"/>
    <tableColumn id="4" xr3:uid="{F37BA824-8512-3445-85C5-7E724A9AC91C}" name="Source1"/>
    <tableColumn id="5" xr3:uid="{2D4C0FC8-6635-AF4A-BA3A-E9063F43E31D}" name="PEM" dataDxfId="334"/>
    <tableColumn id="6" xr3:uid="{B69A449B-01E7-9047-BB45-0593542BD002}" name="Source2"/>
    <tableColumn id="7" xr3:uid="{0840E7E5-1996-5B4F-9AEE-D4A3D87CEF59}" name="SOEC" dataDxfId="333"/>
    <tableColumn id="8" xr3:uid="{63D81B98-EB54-CB4F-9ACD-8459E95011E1}" name="Source3"/>
    <tableColumn id="9" xr3:uid="{278247F9-0EF4-9B44-A494-6317768B1148}" name="AEM"/>
    <tableColumn id="10" xr3:uid="{B7E61835-5A83-C247-87BF-1E3ED65293F1}" name="Source4" dataDxfId="33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66441A-4978-AE4E-81F4-F5FFC8F30048}" name="Tb_CSv" displayName="Tb_CSv" ref="AE4:AX10" totalsRowShown="0" headerRowDxfId="331" headerRowBorderDxfId="330">
  <autoFilter ref="AE4:AX10" xr:uid="{E666441A-4978-AE4E-81F4-F5FFC8F30048}"/>
  <tableColumns count="20">
    <tableColumn id="1" xr3:uid="{95191F64-9955-E542-8233-ED701C66AB3E}" name="Parameter" dataDxfId="329"/>
    <tableColumn id="2" xr3:uid="{8C1E37B4-67FD-5343-9FB0-9CBEBBD6B98E}" name="Unit of measure"/>
    <tableColumn id="3" xr3:uid="{B489EB69-6ED1-E54C-91F5-F33C621AADB9}" name="Germany"/>
    <tableColumn id="4" xr3:uid="{D35A837D-4D64-9146-B8B6-3BACD2B0CBD8}" name="Source1"/>
    <tableColumn id="5" xr3:uid="{B00F89C1-E321-974F-A05E-60500E083465}" name="France"/>
    <tableColumn id="6" xr3:uid="{906922DF-17E3-964D-86F7-B761E561E936}" name="Source2"/>
    <tableColumn id="7" xr3:uid="{2871BB5A-E804-5F4B-AEF5-DF367E71A8BC}" name="Spain"/>
    <tableColumn id="8" xr3:uid="{34A2081C-0B1A-0341-941E-F533566576B9}" name="Source3"/>
    <tableColumn id="9" xr3:uid="{63AC6B44-93BA-3A46-8624-407E41EB67F9}" name="Chile"/>
    <tableColumn id="10" xr3:uid="{50B77C70-9205-8548-BDC4-23C7F486C26C}" name="Source4"/>
    <tableColumn id="11" xr3:uid="{8356E708-FE6D-7849-9F0A-331045D47FCD}" name="Algeria"/>
    <tableColumn id="12" xr3:uid="{A1EFAFE2-93D8-1944-9647-C5D78CBC1AA3}" name="Source6"/>
    <tableColumn id="13" xr3:uid="{17902C25-883B-AD40-B4AD-FD88F1FC4C18}" name="Australia"/>
    <tableColumn id="14" xr3:uid="{A966DBA6-FB18-5C49-96AA-74F16708674E}" name="Source7"/>
    <tableColumn id="19" xr3:uid="{E3C98969-E482-47CC-A1F9-6225D0F7E05B}" name="Saudi Arabia"/>
    <tableColumn id="20" xr3:uid="{1632BD9F-C818-4D67-ABD6-F7980F97DB7B}" name="Source9"/>
    <tableColumn id="21" xr3:uid="{9C4250E9-DF9F-431C-B2D7-3E73B7ADDC69}" name="Norway"/>
    <tableColumn id="22" xr3:uid="{C64458F4-A940-4258-8013-3706CFF6A821}" name="Source10"/>
    <tableColumn id="23" xr3:uid="{188CB816-2548-4FEA-9784-2034EDB24211}" name="Qatar"/>
    <tableColumn id="24" xr3:uid="{5855F344-6210-4301-A380-FB78DCBE98CD}" name="Source11" dataDxfId="32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9627466-E510-7248-9101-526B38126BAF}" name="Tb_GLv" displayName="Tb_GLv" ref="A4:D10" totalsRowShown="0" headerRowDxfId="327" headerRowBorderDxfId="326">
  <autoFilter ref="A4:D10" xr:uid="{69627466-E510-7248-9101-526B38126BAF}"/>
  <tableColumns count="4">
    <tableColumn id="1" xr3:uid="{F0899592-4528-064C-B971-62656887BA1D}" name="Parameter" dataDxfId="325"/>
    <tableColumn id="2" xr3:uid="{9A68C6BC-E2C8-4E4A-9D5A-933C9633C78E}" name="Unit of measure" dataDxfId="324"/>
    <tableColumn id="3" xr3:uid="{8D75CBE2-BE91-EF48-AF98-EC1B909171D7}" name="Value" dataDxfId="323"/>
    <tableColumn id="4" xr3:uid="{8870B87F-0574-614D-B881-AD356018C45D}" name="Source" dataDxfId="32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E85DABB-2221-294B-A807-E17CDE179810}" name="Table20" displayName="Table20" ref="S4:V29" totalsRowShown="0" headerRowDxfId="321" headerRowBorderDxfId="320" tableBorderDxfId="319">
  <autoFilter ref="S4:V29" xr:uid="{EE85DABB-2221-294B-A807-E17CDE179810}"/>
  <tableColumns count="4">
    <tableColumn id="1" xr3:uid="{119878EB-0683-D645-8839-A9FD41EDD8A8}" name="Parameter" dataDxfId="318"/>
    <tableColumn id="2" xr3:uid="{9B83CD7A-BED6-1648-80D7-C603AC36B4E0}" name="Unit of measure" dataDxfId="317"/>
    <tableColumn id="3" xr3:uid="{7A7BCE64-ACDC-6F43-9AE1-D99C1446BBB2}" name="Value" dataDxfId="316"/>
    <tableColumn id="4" xr3:uid="{4ACAB25B-E482-E14D-894E-E3F92333B3DD}" name="Source1" dataDxfId="315" dataCellStyle="Hyperlink"/>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71D82A1-B53A-A540-9C4B-4B5E3CA6495E}" name="Table21" displayName="Table21" ref="Y4:AB16" totalsRowShown="0" headerRowDxfId="314" headerRowBorderDxfId="313" tableBorderDxfId="312">
  <autoFilter ref="Y4:AB16" xr:uid="{B71D82A1-B53A-A540-9C4B-4B5E3CA6495E}"/>
  <tableColumns count="4">
    <tableColumn id="1" xr3:uid="{12016E9F-ED4C-9640-843E-D2A258D31A02}" name="Parameter"/>
    <tableColumn id="2" xr3:uid="{1466FC01-F0CC-B044-B770-0EEAA61D8249}" name="Unit of measure" dataDxfId="311"/>
    <tableColumn id="3" xr3:uid="{60A83A24-3C22-604A-9AAA-F299B0D5D3D6}" name="Value" dataDxfId="310"/>
    <tableColumn id="4" xr3:uid="{7DE7F6A5-E7EB-F44C-9DED-E6FB9753D2F1}" name="Source1" dataCellStyle="Hyperlink"/>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50A87EFC-D4F1-F04B-A772-A4F8E8324569}" name="Tb_FinStor" displayName="Tb_FinStor" ref="A6:AH22" totalsRowShown="0" headerRowDxfId="309" headerRowBorderDxfId="308" tableBorderDxfId="307">
  <autoFilter ref="A6:AH22" xr:uid="{50A87EFC-D4F1-F04B-A772-A4F8E8324569}"/>
  <tableColumns count="34">
    <tableColumn id="1" xr3:uid="{9BD1FF53-CBD6-5D48-BEFF-A30EC5E8B5A9}" name="Parameter" dataDxfId="306"/>
    <tableColumn id="2" xr3:uid="{D0EFD4D7-A29C-934B-94AF-EBE93916B38E}" name="Unit of measure" dataDxfId="305"/>
    <tableColumn id="3" xr3:uid="{64466FA4-201F-0A49-94B3-EA1BFEB8E4CA}" name="Tank - Type I" dataDxfId="304"/>
    <tableColumn id="20" xr3:uid="{7AD556D4-484A-43B1-AF77-50D3FFC1041C}" name="Source" dataDxfId="303" dataCellStyle="Hyperlink"/>
    <tableColumn id="4" xr3:uid="{DAFFC3F5-50E2-004A-BD99-22CC7DE0EE7A}" name="Tank - Type II" dataDxfId="302" dataCellStyle="Hyperlink"/>
    <tableColumn id="21" xr3:uid="{D8BEF881-2A2A-4F23-871D-18AAA877075B}" name="Source1" dataDxfId="301" dataCellStyle="Hyperlink"/>
    <tableColumn id="5" xr3:uid="{B37BB983-E399-8F4F-94D6-279805E23594}" name="Tank - Type III" dataDxfId="300"/>
    <tableColumn id="22" xr3:uid="{13DC3129-15B1-4834-AA80-9E2D739C7A47}" name="Source2" dataDxfId="299" dataCellStyle="Hyperlink"/>
    <tableColumn id="6" xr3:uid="{258EB299-2E11-A745-9186-099F75C0E88A}" name="Tank - Type IV" dataDxfId="298"/>
    <tableColumn id="23" xr3:uid="{24400F62-AB5C-4491-9EA6-A1C5804F135B}" name="Source3" dataCellStyle="Hyperlink"/>
    <tableColumn id="7" xr3:uid="{7BB5BD49-F0BF-2542-9232-6CABEB49B7DB}" name="Geological - Depleted NG or Oil ReservoirGermany" dataDxfId="297"/>
    <tableColumn id="24" xr3:uid="{A6C9E0FF-8D5F-48B6-B59F-D52EDB1A5B8A}" name="Source4" dataCellStyle="Hyperlink"/>
    <tableColumn id="8" xr3:uid="{951ABF81-A3F8-764A-A6CC-E9F11E6F87CE}" name="Geological - Depleted NG or Oil ReservoirFrance" dataDxfId="296"/>
    <tableColumn id="25" xr3:uid="{C927C317-E27D-402D-8B20-77CA3B3B21D8}" name="Source5" dataCellStyle="Hyperlink"/>
    <tableColumn id="9" xr3:uid="{9638FEBA-A40C-4E4E-B750-1A5E5E489417}" name="Geological - Depleted NG or Oil ReservoirSpain" dataDxfId="295"/>
    <tableColumn id="26" xr3:uid="{8C00825D-20E9-4148-8D91-2509508184B8}" name="Source6" dataCellStyle="Hyperlink"/>
    <tableColumn id="10" xr3:uid="{51D21C53-F67C-E346-8A1F-3235E12F19BB}" name="Geological - Salt CavernGermany" dataDxfId="294"/>
    <tableColumn id="27" xr3:uid="{35403A58-7A93-4D13-BF28-9F5FCE935065}" name="Source7" dataCellStyle="Hyperlink"/>
    <tableColumn id="11" xr3:uid="{AA536812-6012-A74A-9A6A-CC5FFD02B244}" name="Geological - Salt CavernFrance" dataDxfId="293"/>
    <tableColumn id="28" xr3:uid="{D9084F90-DB33-447A-9D7D-50105055C7AB}" name="Source8" dataCellStyle="Hyperlink"/>
    <tableColumn id="12" xr3:uid="{1122D74E-CE4E-C24B-BA90-133C79D46D88}" name="Geological - Salt CavernSpain" dataDxfId="292"/>
    <tableColumn id="29" xr3:uid="{D9F53C6E-2141-40C8-8AC8-D969566F1640}" name="Source9" dataCellStyle="Hyperlink"/>
    <tableColumn id="13" xr3:uid="{712BCFE9-515E-924C-AB75-D01A93C74CE2}" name="Geological - Lined Rock CavernGermany" dataDxfId="291"/>
    <tableColumn id="30" xr3:uid="{F4F84679-6317-4768-9DE3-A8056DCD64D5}" name="Source10" dataCellStyle="Hyperlink"/>
    <tableColumn id="14" xr3:uid="{553F8A71-68B0-9844-A7C3-B282FF4F1BDC}" name="Geological - Lined Rock CavernFrance" dataDxfId="290"/>
    <tableColumn id="31" xr3:uid="{F0DE01F5-B65A-4888-8E6E-1A9604A56890}" name="Source11" dataCellStyle="Hyperlink"/>
    <tableColumn id="15" xr3:uid="{EF3D38BB-741E-CA43-B71B-425AB0478D3D}" name="Geological - Lined Rock CavernSpain" dataDxfId="289"/>
    <tableColumn id="32" xr3:uid="{0F820B47-BD42-415A-9135-5DE344274614}" name="Source12" dataCellStyle="Hyperlink"/>
    <tableColumn id="16" xr3:uid="{D9C32929-283D-4D4D-9FEC-A1C6EF135A19}" name="Geological - AquiferGermany" dataDxfId="288"/>
    <tableColumn id="33" xr3:uid="{6082A783-415B-40D6-AB2D-8BFC6AEDCF1B}" name="Source13" dataCellStyle="Hyperlink"/>
    <tableColumn id="17" xr3:uid="{9379429A-7057-4E47-9D60-F275A36A497A}" name="Geological - AquiferFrance" dataDxfId="287"/>
    <tableColumn id="34" xr3:uid="{B13F2DCB-0407-4F1F-AA1A-F906B50A07AA}" name="Source14" dataCellStyle="Hyperlink"/>
    <tableColumn id="18" xr3:uid="{EB0557C7-4E99-EC42-96FF-C5B75D78D74D}" name="Geological - AquiferSpain" dataDxfId="286"/>
    <tableColumn id="35" xr3:uid="{B79BEAC2-59FA-4BFA-A714-EE1798C67D3C}" name="Source15" dataDxfId="285" dataCellStyle="Hyperlink"/>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3AF500E-C2FC-4254-944A-A45C34A9AF64}" name="Tb_ImpTermStor" displayName="Tb_ImpTermStor" ref="AK4:AP14" totalsRowShown="0" headerRowDxfId="284" tableBorderDxfId="283">
  <autoFilter ref="AK4:AP14" xr:uid="{13AF500E-C2FC-4254-944A-A45C34A9AF64}"/>
  <tableColumns count="6">
    <tableColumn id="1" xr3:uid="{ADF5D819-A095-44FA-AC49-C92B8FA5C756}" name="Parameter" dataDxfId="282"/>
    <tableColumn id="2" xr3:uid="{845A21B8-D819-496C-9BDC-16FFED5ED008}" name="Unit of measure" dataDxfId="281"/>
    <tableColumn id="3" xr3:uid="{7356E634-B235-4F03-AC94-43AA8C7840D5}" name="LH2" dataDxfId="280"/>
    <tableColumn id="4" xr3:uid="{44889C9C-F587-4CB5-954A-4B052D234498}" name="Source" dataCellStyle="Hyperlink"/>
    <tableColumn id="5" xr3:uid="{834EA042-CEA6-43FA-9FC6-7BCD6F16B1DC}" name="NH3" dataDxfId="279"/>
    <tableColumn id="6" xr3:uid="{A70E24B7-EBC9-43B9-8984-18E743F3F8DD}" name="Source1" dataDxfId="278" dataCellStyle="Hyperlink"/>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097E13A-A2A8-426B-9885-E7B44F39B9CA}" name="Tb_ExpTermStor" displayName="Tb_ExpTermStor" ref="AS4:AX14" totalsRowShown="0" headerRowDxfId="277" tableBorderDxfId="276">
  <autoFilter ref="AS4:AX14" xr:uid="{E097E13A-A2A8-426B-9885-E7B44F39B9CA}"/>
  <tableColumns count="6">
    <tableColumn id="1" xr3:uid="{08C84481-93B8-425F-82F3-7401DDE6F018}" name="Parameter" dataDxfId="275"/>
    <tableColumn id="2" xr3:uid="{4FACA8F7-5992-433C-9239-7E8E2C890E01}" name="Unit of measure" dataDxfId="274"/>
    <tableColumn id="3" xr3:uid="{AD3C52FF-CD56-4912-83D7-54D6F3BE71BF}" name="LH2" dataDxfId="273"/>
    <tableColumn id="4" xr3:uid="{7E4ECA46-949D-47A8-BFF3-7B5E67F02DAA}" name="Source" dataCellStyle="Hyperlink"/>
    <tableColumn id="5" xr3:uid="{213D73AD-821A-485B-ADA2-FF86F56595A0}" name="NH3" dataDxfId="272"/>
    <tableColumn id="6" xr3:uid="{E4D460EA-3849-4BB8-9910-06815D36F577}" name="Source1" dataCellStyle="Hyperlink"/>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55D5A4E-7EBA-4491-B3DA-DDC9EEF79244}" name="Tb_PLv" displayName="Tb_PLv" ref="A4:J15" totalsRowShown="0" headerRowDxfId="271" headerRowBorderDxfId="270">
  <autoFilter ref="A4:J15" xr:uid="{206ADC4E-6CF2-4B37-8C7A-E08858BB3439}"/>
  <tableColumns count="10">
    <tableColumn id="1" xr3:uid="{16DA4D3A-2ED5-4D94-BCB0-F92A9537A969}" name="Parameter" dataDxfId="269"/>
    <tableColumn id="2" xr3:uid="{C9E462B0-1858-4DA7-95F1-BA37B086793E}" name="Unit of measure" dataDxfId="268"/>
    <tableColumn id="3" xr3:uid="{DB0BF565-BEA2-4E66-98A8-C89D3F4B4650}" name="General" dataDxfId="267"/>
    <tableColumn id="4" xr3:uid="{F65C52E3-75F1-412C-8497-8175B4AC134D}" name="Source1"/>
    <tableColumn id="5" xr3:uid="{AE1E3E04-B0AB-4B64-979C-6AABD364EC84}" name="Small" dataDxfId="266"/>
    <tableColumn id="6" xr3:uid="{B382920A-5510-4546-A84E-5BFFD300DFE7}" name="Source2"/>
    <tableColumn id="7" xr3:uid="{CF62190E-78B7-4C30-B248-E5D05A73FF83}" name="Medium" dataDxfId="265"/>
    <tableColumn id="8" xr3:uid="{522C698A-5AEC-4432-8939-A73CA3A8A0F1}" name="Source3"/>
    <tableColumn id="9" xr3:uid="{CDC04A6D-BE54-4EA5-952F-A05AC9CC2D08}" name="Large" dataDxfId="264"/>
    <tableColumn id="10" xr3:uid="{FD36E374-7E85-431E-A2CC-2E0F0A4CDA6F}" name="Source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896D6D8-2753-4061-BDAF-CABF29CEDA85}" name="Tb_SHv" displayName="Tb_SHv" ref="M4:V14" totalsRowShown="0" headerRowDxfId="263" headerRowBorderDxfId="262">
  <autoFilter ref="M4:V14" xr:uid="{8DF3D9E7-DFF7-4691-B82C-B5E0BA8B07EA}"/>
  <tableColumns count="10">
    <tableColumn id="1" xr3:uid="{8C5B7455-BF36-44AE-8418-C619C027BD4C}" name="Parameter" dataDxfId="261"/>
    <tableColumn id="2" xr3:uid="{0BD0664B-EFB1-484F-B249-5C97DB287159}" name="Unit of measure" dataDxfId="260"/>
    <tableColumn id="3" xr3:uid="{F1DF2AB4-4690-4478-B171-EC256CD28804}" name="General"/>
    <tableColumn id="4" xr3:uid="{70AB5C6C-3A5A-4CC1-BC07-B7FD12E53E3A}" name="Source1"/>
    <tableColumn id="5" xr3:uid="{20E40BCA-068D-4E86-AC06-C1824CA0D124}" name="LH2"/>
    <tableColumn id="6" xr3:uid="{FA04E022-0DE6-4EBF-8B44-332395320596}" name="Source2"/>
    <tableColumn id="7" xr3:uid="{8181B909-7EA0-40C8-8E76-6C7D16B5F6F1}" name="NH3"/>
    <tableColumn id="8" xr3:uid="{398F4BCD-4FC0-476A-B7AD-F47A9862B4EF}" name="Source3"/>
    <tableColumn id="9" xr3:uid="{E6574CC5-A929-4241-86B0-50C46098A2C3}" name="Other"/>
    <tableColumn id="10" xr3:uid="{6861ADCB-A6E8-47BC-AEDD-34D42193C4C6}" name="Source4" dataDxfId="25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9B428CC-E874-4C94-B1E7-542A1480D3EC}" name="Tb_TRv" displayName="Tb_TRv" ref="Y4:AH22" totalsRowShown="0" headerRowDxfId="258" headerRowBorderDxfId="257">
  <autoFilter ref="Y4:AH22" xr:uid="{AA69FCB7-6331-4285-BD85-369819EBDDAB}"/>
  <tableColumns count="10">
    <tableColumn id="1" xr3:uid="{90B21187-7943-42D6-89DB-31C4D76DEE79}" name="Parameter" dataDxfId="256"/>
    <tableColumn id="2" xr3:uid="{6F547417-2B2E-46E6-9A87-CC733568DEE2}" name="Unit of measure" dataDxfId="255"/>
    <tableColumn id="3" xr3:uid="{7842DE5C-7BE1-4496-9677-1D7CFE5542FE}" name="General" dataDxfId="254"/>
    <tableColumn id="4" xr3:uid="{32A7ABBE-E746-47F0-98ED-EC08A3F92D25}" name="Source1" dataDxfId="253"/>
    <tableColumn id="5" xr3:uid="{963F2D71-049B-4E0E-9A0B-A6524D5C71B3}" name="gH2" dataDxfId="252"/>
    <tableColumn id="6" xr3:uid="{BF19A42F-6363-4ED0-82CF-00D4ACF33CFA}" name="Source2" dataDxfId="251"/>
    <tableColumn id="7" xr3:uid="{5AF0F9FB-47D0-4678-BB63-66BBDC935BAD}" name="LH2" dataDxfId="250"/>
    <tableColumn id="8" xr3:uid="{E86A4092-E1C1-4762-9E3B-C9DD8C070C65}" name="Source3" dataDxfId="249"/>
    <tableColumn id="9" xr3:uid="{901AD5EB-FFA7-45CD-B2D6-F49AAB0CD288}" name="NH3" dataDxfId="248"/>
    <tableColumn id="10" xr3:uid="{F5869FF7-4909-466C-9E68-AEC22176D0E0}" name="Source4" dataDxfId="24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B85D406F-BB27-4759-ACBE-14934A63CA37}" name="Tb_Cpr24343941" displayName="Tb_Cpr24343941" ref="BC3:BF14" totalsRowShown="0" headerRowDxfId="246" headerRowBorderDxfId="245">
  <autoFilter ref="BC3:BF14" xr:uid="{548A53DE-3274-48E1-8488-8BB006895F14}"/>
  <tableColumns count="4">
    <tableColumn id="1" xr3:uid="{35F6805A-015C-458F-AC35-D10D317F91F7}" name="Parameter" dataDxfId="244"/>
    <tableColumn id="2" xr3:uid="{A7ACE6D3-12DB-4264-AB6E-7F9495957B12}" name="Unit of measure" dataDxfId="243"/>
    <tableColumn id="3" xr3:uid="{3958A2D5-F766-43B8-9C01-4685E2F68FF1}" name="NH3 Reconversion Plant" dataDxfId="242"/>
    <tableColumn id="4" xr3:uid="{FE66A518-B71B-4B74-A61D-9D85D7EC94F7}" name="Source"/>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48A53DE-3274-48E1-8488-8BB006895F14}" name="Tb_Cpr" displayName="Tb_Cpr" ref="A4:AF23" totalsRowShown="0" headerRowDxfId="241" dataDxfId="239" headerRowBorderDxfId="240">
  <autoFilter ref="A4:AF23" xr:uid="{548A53DE-3274-48E1-8488-8BB006895F14}"/>
  <tableColumns count="32">
    <tableColumn id="1" xr3:uid="{B8F80F0A-F11C-41C7-8058-DF4FA40BE5C8}" name="Parameter" dataDxfId="238"/>
    <tableColumn id="2" xr3:uid="{D7151131-3DBB-487B-9B42-1FBD00416174}" name="Unit of measure" dataDxfId="237"/>
    <tableColumn id="3" xr3:uid="{7EFFEF63-A245-4BCE-A704-632334DA1532}" name="Pipeline inlet" dataDxfId="236"/>
    <tableColumn id="4" xr3:uid="{979F9640-09B6-4560-A7D4-81FD2513311D}" name="Source" dataDxfId="235"/>
    <tableColumn id="30" xr3:uid="{548CB1A9-469E-9046-8E4C-552740124874}" name="Pipeline inlet - Distribution" dataDxfId="234" dataCellStyle="Hyperlink"/>
    <tableColumn id="29" xr3:uid="{EAB10338-D04D-1540-8A08-205A806FFC2A}" name="Column1" dataDxfId="233" dataCellStyle="Hyperlink"/>
    <tableColumn id="28" xr3:uid="{71DC6FC3-48E3-4B1E-B9AC-25A5CA4612E7}" name="Pipeline booster - transmission offshore" dataDxfId="232"/>
    <tableColumn id="27" xr3:uid="{655E417D-A666-4093-BEEB-5C6398E1E5BD}" name="Source1" dataDxfId="231" dataCellStyle="Hyperlink"/>
    <tableColumn id="26" xr3:uid="{4FAF2732-CFC9-4B2E-9AEE-6CCEC184910E}" name="Pipeline booster - transmission onshore" dataDxfId="230"/>
    <tableColumn id="25" xr3:uid="{1A17276B-673F-4594-88D7-AD9AA47C752E}" name="Source 2" dataDxfId="229" dataCellStyle="Hyperlink"/>
    <tableColumn id="5" xr3:uid="{D52041E6-0DDB-4725-9DC9-A88CC7F1D88B}" name="Pipeline booster - distribution" dataDxfId="228"/>
    <tableColumn id="6" xr3:uid="{48810A02-D8C6-4E8C-8B4D-99E011362F69}" name="Source3" dataDxfId="227" dataCellStyle="Hyperlink"/>
    <tableColumn id="32" xr3:uid="{3754C755-A977-4D10-819E-CB5FB080C919}" name="Final compression" dataDxfId="226" dataCellStyle="Hyperlink"/>
    <tableColumn id="31" xr3:uid="{200B2484-9BD1-4E3E-9FAA-24902823E0E0}" name="Source4" dataDxfId="225" dataCellStyle="Hyperlink"/>
    <tableColumn id="7" xr3:uid="{1EE8BC6D-BAD5-4CAD-8F82-33B5D0B91772}" name="Truck - 250 bar" dataDxfId="224"/>
    <tableColumn id="8" xr3:uid="{C764282D-8B5A-4250-910F-13837D7CC29B}" name="Source 4" dataDxfId="223"/>
    <tableColumn id="9" xr3:uid="{1621FEA2-9BE2-458C-9D9F-E4BACAA57D91}" name="Tank - Type I" dataDxfId="222"/>
    <tableColumn id="10" xr3:uid="{0DF266C8-D85E-4258-8FE2-A42807F9CBA9}" name="Source 5" dataDxfId="221"/>
    <tableColumn id="11" xr3:uid="{0FE4765E-BEE8-4759-9DB5-B3FFCC5085A7}" name="Tank - Type II" dataDxfId="220"/>
    <tableColumn id="12" xr3:uid="{1239867B-704D-4538-9CF3-788687719FE7}" name="Source 6" dataDxfId="219"/>
    <tableColumn id="13" xr3:uid="{45B73F60-07AA-4E1E-B0D1-2F0A34F0486E}" name="Tank - Type III" dataDxfId="218"/>
    <tableColumn id="14" xr3:uid="{5BBEA198-A924-4352-B7B1-41FF172D36CE}" name="Source 7" dataDxfId="217"/>
    <tableColumn id="15" xr3:uid="{B02FED46-F62A-4390-9CC3-5E43111E9FEA}" name="Tank - Type IV" dataDxfId="216"/>
    <tableColumn id="16" xr3:uid="{182F4C2A-BA1A-496D-B015-FE507C3586F7}" name="Source 8" dataDxfId="215"/>
    <tableColumn id="17" xr3:uid="{F9BA36FA-4D6B-4398-AF80-869FCF44C0D0}" name="Geological - Depleted NG or Oil Reservoir" dataDxfId="214"/>
    <tableColumn id="18" xr3:uid="{529231CC-6D1B-46BE-970A-3992FB403CD5}" name="Source 9" dataDxfId="213"/>
    <tableColumn id="19" xr3:uid="{6473F223-CDEE-4B86-8479-282DD470A8EA}" name="Geological - Salt Cavern" dataDxfId="212"/>
    <tableColumn id="20" xr3:uid="{5AC219A4-CA9C-431B-94C0-3DD235CC507E}" name="Source 10" dataDxfId="211"/>
    <tableColumn id="21" xr3:uid="{93C38290-0190-4546-BA85-5799059F8850}" name="Geological - Lined Rock Cavern" dataDxfId="210"/>
    <tableColumn id="22" xr3:uid="{4B599E25-E5A9-480D-9D2B-9692E3D232DC}" name="Source 11" dataDxfId="209"/>
    <tableColumn id="23" xr3:uid="{CBC2088D-04CC-4D91-9A9E-29E1DFFAECB9}" name="Geological - Aquifer" dataDxfId="208"/>
    <tableColumn id="24" xr3:uid="{0CB3746C-5D40-458E-80B0-2DB699736C7D}" name="Source 12" dataDxfId="20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71696C4-45DE-49EB-86D5-4868129C1D50}" name="Tb_Cpr24" displayName="Tb_Cpr24" ref="AI4:AN12" totalsRowShown="0" headerRowDxfId="206" dataDxfId="204" headerRowBorderDxfId="205">
  <autoFilter ref="AI4:AN12" xr:uid="{548A53DE-3274-48E1-8488-8BB006895F14}"/>
  <tableColumns count="6">
    <tableColumn id="1" xr3:uid="{F2979021-481B-4E2B-A6E4-7F027E625604}" name="Parameter" dataDxfId="203"/>
    <tableColumn id="2" xr3:uid="{16F2CF47-CC36-47B7-8C1B-BDD08EBE4129}" name="Unit of measure" dataDxfId="202"/>
    <tableColumn id="3" xr3:uid="{36333EB4-A3D5-4DD4-B1B3-F1362790DD7F}" name="Conventional Liquefaction Plant" dataDxfId="201"/>
    <tableColumn id="4" xr3:uid="{5051443D-06F2-4E95-BBE8-C815B70B3CE9}" name="Source" dataDxfId="200"/>
    <tableColumn id="28" xr3:uid="{E464887E-E2F8-413D-9A7F-DD55AA81EC38}" name="Proposed Liquefaction Plant (LNG pre-cooling)" dataDxfId="199"/>
    <tableColumn id="27" xr3:uid="{940EFECF-1625-49E5-BAC5-C915E485366C}" name="Source1" dataDxfId="19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F2FAFDA-BFA7-47AF-A74B-D22DC53E23D4}" name="Tb_Cpr2434" displayName="Tb_Cpr2434" ref="AQ3:AT12" totalsRowShown="0" headerRowDxfId="197" dataDxfId="195" headerRowBorderDxfId="196">
  <autoFilter ref="AQ3:AT12" xr:uid="{548A53DE-3274-48E1-8488-8BB006895F14}"/>
  <tableColumns count="4">
    <tableColumn id="1" xr3:uid="{780AEA2E-108F-40E2-8C11-320CFF12F741}" name="Parameter" dataDxfId="194"/>
    <tableColumn id="2" xr3:uid="{B9368770-60E0-49B2-8BB1-04D63628E90D}" name="Unit of measure" dataDxfId="193"/>
    <tableColumn id="3" xr3:uid="{1C065860-BC08-45FA-B9A0-FD4CD0BB4E2C}" name="Regasification Plant" dataDxfId="192"/>
    <tableColumn id="4" xr3:uid="{2CE07CDC-FD68-420C-8466-93216AF4A7A2}" name="Source" dataDxfId="19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FBF6733-75E4-4A77-97FA-1E7961E69381}" name="Tb_Cpr243439" displayName="Tb_Cpr243439" ref="AW3:AZ17" totalsRowShown="0" headerRowDxfId="190" headerRowBorderDxfId="189">
  <autoFilter ref="AW3:AZ17" xr:uid="{548A53DE-3274-48E1-8488-8BB006895F14}"/>
  <tableColumns count="4">
    <tableColumn id="1" xr3:uid="{2B9F83A6-C33F-434C-910B-EE5EFAD1266C}" name="Parameter" dataDxfId="188"/>
    <tableColumn id="2" xr3:uid="{EE8E75B8-0999-4898-A19A-95ECE48D08DC}" name="Unit of measure" dataDxfId="187"/>
    <tableColumn id="3" xr3:uid="{30CA60EF-3300-477B-897E-B8B9C296A355}" name="NH3 Conversion Plant" dataDxfId="186"/>
    <tableColumn id="4" xr3:uid="{6288BBD8-C56E-4067-B9DF-092FB5670353}" name="Source"/>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DB91D07-0B55-734D-A149-91336CE19AF4}" name="Tb_SC" displayName="Tb_SC" ref="A3:F35" totalsRowShown="0" headerRowDxfId="185" dataDxfId="183" headerRowBorderDxfId="184" tableBorderDxfId="182">
  <autoFilter ref="A3:F35" xr:uid="{5DB91D07-0B55-734D-A149-91336CE19AF4}"/>
  <tableColumns count="6">
    <tableColumn id="11" xr3:uid="{AB1B2626-9051-A54D-957E-F38B81817FEB}" name="Code" dataDxfId="181">
      <calculatedColumnFormula>Tb_SC[[#This Row],[Production loc]]&amp;Tb_SC[[#This Row],[Production method]]&amp;Tb_SC[[#This Row],[Electricity source]]</calculatedColumnFormula>
    </tableColumn>
    <tableColumn id="13" xr3:uid="{8F25F317-2843-5544-AAC7-F038FF252C66}" name="Code1" dataDxfId="180">
      <calculatedColumnFormula>Tb_SC[[#This Row],[Production loc]]&amp;COUNTIF($C$4:C4,C4)</calculatedColumnFormula>
    </tableColumn>
    <tableColumn id="9" xr3:uid="{201704CF-AD63-C141-A5B4-51B2F08C58AD}" name="Production loc" dataDxfId="179"/>
    <tableColumn id="2" xr3:uid="{EBCD34A2-5923-3D4E-A43B-450101F7D45A}" name="Production method" dataDxfId="178"/>
    <tableColumn id="3" xr3:uid="{606495AB-8449-064F-87E7-C05008105145}" name="Electricity source" dataDxfId="177"/>
    <tableColumn id="1" xr3:uid="{83F815ED-04FD-FC4B-836B-8152B72DE753}" name="Additional comments" dataDxfId="176"/>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0019509-3236-F14D-AAE5-08F8892FC966}" name="Tb_SR" displayName="Tb_SR" ref="A8:K59" totalsRowShown="0" headerRowDxfId="175" dataDxfId="173" headerRowBorderDxfId="174" tableBorderDxfId="172">
  <autoFilter ref="A8:K59" xr:uid="{E0019509-3236-F14D-AAE5-08F8892FC966}"/>
  <tableColumns count="11">
    <tableColumn id="11" xr3:uid="{1F4F37EA-5D78-674F-9D64-11BA75EAA914}" name="Code" dataDxfId="171">
      <calculatedColumnFormula>Tb_SR[[#This Row],[Production loc]]&amp;Tb_SR[[#This Row],[Transmission by sea]]&amp;Tb_SR[[#This Row],[Transmission by land]]&amp;Tb_SR[[#This Row],[Destination]]</calculatedColumnFormula>
    </tableColumn>
    <tableColumn id="13" xr3:uid="{AADC1336-7326-284C-A46C-E334C9919A75}" name="Code1" dataDxfId="170">
      <calculatedColumnFormula>Tb_SR[[#This Row],[Production loc]]&amp;Tb_SR[[#This Row],[Destination]]&amp;COUNTIF($C$9:C9,C9)</calculatedColumnFormula>
    </tableColumn>
    <tableColumn id="12" xr3:uid="{BB43E198-9659-CC4A-9AC6-832C367E04D6}" name="Supply route" dataDxfId="169">
      <calculatedColumnFormula>Tb_SR[[#This Row],[Production loc]]&amp;" - "&amp;Tb_SR[[#This Row],[Destination]]</calculatedColumnFormula>
    </tableColumn>
    <tableColumn id="9" xr3:uid="{02F15AB4-133B-084F-952E-4118B22DAAAA}" name="Production loc" dataDxfId="168"/>
    <tableColumn id="2" xr3:uid="{C84E13EF-24C4-6B42-A6C1-58B0721473C1}" name="Transmission by sea" dataDxfId="167"/>
    <tableColumn id="3" xr3:uid="{3C15D026-B75B-F34D-8783-7BF226F7485B}" name="Transmission by sea - Distance [km]" dataDxfId="166"/>
    <tableColumn id="5" xr3:uid="{D5CEF111-9027-8145-8788-67B5E4F605C1}" name="Transmission by land" dataDxfId="165"/>
    <tableColumn id="6" xr3:uid="{4EBAF2D2-A79E-A942-915D-AAAF3974A963}" name="Transmission by land - Distance [km]" dataDxfId="164">
      <calculatedColumnFormula>SQRT(357588/PI())+SQRT(41865/PI())</calculatedColumnFormula>
    </tableColumn>
    <tableColumn id="4" xr3:uid="{ABC86FF4-68FE-F04B-9913-3E313DD8E7BD}" name="Transmission by land - Distance [km] (border/harbor)" dataDxfId="163"/>
    <tableColumn id="10" xr3:uid="{79E1142F-4C67-9744-A98E-D5C634A2B00B}" name="Destination" dataDxfId="162"/>
    <tableColumn id="1" xr3:uid="{D3CECA98-6D10-6643-B0E1-31D6728B30F4}" name="Additional comments" dataDxfId="16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37E0652-F972-604F-80CD-9B60D6F4D5B7}" name="Tb_Fuel" displayName="Tb_Fuel" ref="BA4:BX43" totalsRowShown="0" headerRowDxfId="160" dataDxfId="158" headerRowBorderDxfId="159" tableBorderDxfId="157" totalsRowBorderDxfId="156">
  <autoFilter ref="BA4:BX43" xr:uid="{B37E0652-F972-604F-80CD-9B60D6F4D5B7}"/>
  <tableColumns count="24">
    <tableColumn id="1" xr3:uid="{53D2E7F1-5107-EF49-AAE8-CDB6CE0DE0F2}" name="Year" dataDxfId="155"/>
    <tableColumn id="2" xr3:uid="{0C756E7D-3F11-3E4E-A735-9135C855CB8A}" name="Germany - Grid" dataDxfId="154">
      <calculatedColumnFormula>IF(ISBLANK(Tb_Fuel38[[#This Row],[Override]]),Tb_Fuel38[[#This Row],[Germany - Grid]],Tb_Fuel38[[#This Row],[Override]])</calculatedColumnFormula>
    </tableColumn>
    <tableColumn id="4" xr3:uid="{2923E875-3742-884A-869C-863636557001}" name="France - Grid" dataDxfId="153">
      <calculatedColumnFormula>IF(ISBLANK(Tb_Fuel38[[#This Row],[Override2]]),Tb_Fuel38[[#This Row],[France - Grid]],Tb_Fuel38[[#This Row],[Override2]])</calculatedColumnFormula>
    </tableColumn>
    <tableColumn id="6" xr3:uid="{FA93998C-42BF-3C41-A499-ED018C2530A6}" name="Spain - Grid" dataDxfId="152">
      <calculatedColumnFormula>IF(ISBLANK(Tb_Fuel38[[#This Row],[Override3]]),Tb_Fuel38[[#This Row],[Spain - Grid]],Tb_Fuel38[[#This Row],[Override3]])</calculatedColumnFormula>
    </tableColumn>
    <tableColumn id="13" xr3:uid="{227B59F0-7759-8645-9964-08AD2DC7967A}" name="Germany - Feed-in electricity price" dataDxfId="151">
      <calculatedColumnFormula>IF(ISBLANK(Tb_Fuel38[[#This Row],[Override18]]),Tb_Fuel38[[#This Row],[Germany - Feed-in electricity price]],Tb_Fuel38[[#This Row],[Override18]])</calculatedColumnFormula>
    </tableColumn>
    <tableColumn id="11" xr3:uid="{42BFF8AB-B016-6D47-9228-F6EC85ACF972}" name="France - Feed-in electricity price" dataDxfId="150">
      <calculatedColumnFormula>IF(ISBLANK(Tb_Fuel38[[#This Row],[Override220]]),Tb_Fuel38[[#This Row],[France - Feed-in electricity price]],Tb_Fuel38[[#This Row],[Override220]])</calculatedColumnFormula>
    </tableColumn>
    <tableColumn id="9" xr3:uid="{0FCD631E-767E-714F-BF65-DCAB59E02091}" name="Spain - Feed-in electricity price" dataDxfId="149">
      <calculatedColumnFormula>IF(ISBLANK(Tb_Fuel38[[#This Row],[Override322]]),Tb_Fuel38[[#This Row],[Spain - Feed-in electricity price]],Tb_Fuel38[[#This Row],[Override322]])</calculatedColumnFormula>
    </tableColumn>
    <tableColumn id="7" xr3:uid="{2DCEB655-38A4-B34E-BF1B-44A46E310D0F}" name="Norway - Feed-in electricity price" dataDxfId="148">
      <calculatedColumnFormula>IF(ISBLANK(Tb_Fuel38[[#This Row],[Override183]]),Tb_Fuel38[[#This Row],[Norway - Feed-in electricity price]],Tb_Fuel38[[#This Row],[Override183]])</calculatedColumnFormula>
    </tableColumn>
    <tableColumn id="5" xr3:uid="{177A17EF-77D8-8340-A0C4-11F10757414E}" name="Qatar - Feed-in electricity price" dataDxfId="147">
      <calculatedColumnFormula>IF(ISBLANK(Tb_Fuel38[[#This Row],[Override2205]]),Tb_Fuel38[[#This Row],[Qatar - Feed-in electricity price]],Tb_Fuel38[[#This Row],[Override2205]])</calculatedColumnFormula>
    </tableColumn>
    <tableColumn id="3" xr3:uid="{F8BDB2AE-D53F-D040-8D4D-BB81B69570D2}" name="Algeria - Feed-in electricity price" dataDxfId="146">
      <calculatedColumnFormula>IF(ISBLANK(Tb_Fuel38[[#This Row],[Override3227]]),Tb_Fuel38[[#This Row],[Algeria - Feed-in electricity price]],Tb_Fuel38[[#This Row],[Override3227]])</calculatedColumnFormula>
    </tableColumn>
    <tableColumn id="8" xr3:uid="{FB3D2BEE-3BAA-7E43-A111-662A9FB5C344}" name="Germany - Gas" dataDxfId="145">
      <calculatedColumnFormula>IF(ISBLANK(Tb_Fuel38[[#This Row],[Override4]]),Tb_Fuel38[[#This Row],[Germany - Gas]],Tb_Fuel38[[#This Row],[Override4]])</calculatedColumnFormula>
    </tableColumn>
    <tableColumn id="10" xr3:uid="{8938F336-C7A9-7D48-8AF2-D5A331ADB1DD}" name="France - Gas" dataDxfId="144">
      <calculatedColumnFormula>IF(ISBLANK(Tb_Fuel38[[#This Row],[Override5]]),Tb_Fuel38[[#This Row],[France - Gas]],Tb_Fuel38[[#This Row],[Override5]])</calculatedColumnFormula>
    </tableColumn>
    <tableColumn id="12" xr3:uid="{D6BB968F-224D-C74D-99BE-3181BCFC9F4E}" name="Spain - Gas" dataDxfId="143">
      <calculatedColumnFormula>IF(ISBLANK(Tb_Fuel38[[#This Row],[Override6]]),Tb_Fuel38[[#This Row],[Spain - Gas]],Tb_Fuel38[[#This Row],[Override6]])</calculatedColumnFormula>
    </tableColumn>
    <tableColumn id="14" xr3:uid="{21AB931B-3BA4-B947-90DA-AA3B8876767D}" name="Algeria - Gas" dataDxfId="142">
      <calculatedColumnFormula>IF(ISBLANK(Tb_Fuel38[[#This Row],[Override7]]),Tb_Fuel38[[#This Row],[Algeria - Gas]],Tb_Fuel38[[#This Row],[Override7]])</calculatedColumnFormula>
    </tableColumn>
    <tableColumn id="16" xr3:uid="{2FC26630-9664-2E43-81E4-5DD1C9F21F4E}" name="Norway - Gas" dataDxfId="141">
      <calculatedColumnFormula>IF(ISBLANK(Tb_Fuel38[[#This Row],[Override8]]),Tb_Fuel38[[#This Row],[Norway - Gas]],Tb_Fuel38[[#This Row],[Override8]])</calculatedColumnFormula>
    </tableColumn>
    <tableColumn id="18" xr3:uid="{BCA50A06-2C7D-1E4F-99D9-123B9B004DEA}" name="Qatar - Gas" dataDxfId="140">
      <calculatedColumnFormula>IF(ISBLANK(Tb_Fuel38[[#This Row],[Override9]]),Tb_Fuel38[[#This Row],[Qatar - Gas]],Tb_Fuel38[[#This Row],[Override9]])</calculatedColumnFormula>
    </tableColumn>
    <tableColumn id="20" xr3:uid="{10DB9A3B-CD65-F84D-8A48-06C213D27AC6}" name="Germany - CO2 Price" dataDxfId="139">
      <calculatedColumnFormula>IF(ISBLANK(Tb_Fuel38[[#This Row],[Override10]]),Tb_Fuel38[[#This Row],[Germany - CO2 Price]],Tb_Fuel38[[#This Row],[Override10]])</calculatedColumnFormula>
    </tableColumn>
    <tableColumn id="22" xr3:uid="{0AA4030E-B3AB-CF40-B72D-92E1336E8146}" name="France - CO2 Price" dataDxfId="138">
      <calculatedColumnFormula>IF(ISBLANK(Tb_Fuel38[[#This Row],[Override11]]),Tb_Fuel38[[#This Row],[France - CO2 Price]],Tb_Fuel38[[#This Row],[Override11]])</calculatedColumnFormula>
    </tableColumn>
    <tableColumn id="24" xr3:uid="{95547562-46C8-B743-A062-8FCB328AE85F}" name="Spain - CO2 Price" dataDxfId="137">
      <calculatedColumnFormula>IF(ISBLANK(Tb_Fuel38[[#This Row],[Override12]]),Tb_Fuel38[[#This Row],[Spain - CO2 Price]],Tb_Fuel38[[#This Row],[Override12]])</calculatedColumnFormula>
    </tableColumn>
    <tableColumn id="26" xr3:uid="{DFA08AF0-AE42-4748-A6D6-9E83DBCC105B}" name="Algeria - CO2 Price" dataDxfId="136">
      <calculatedColumnFormula>IF(ISBLANK(Tb_Fuel38[[#This Row],[Override13]]),Tb_Fuel38[[#This Row],[Algeria - CO2 Price]],Tb_Fuel38[[#This Row],[Override13]])</calculatedColumnFormula>
    </tableColumn>
    <tableColumn id="28" xr3:uid="{81CE28A9-94C5-EC41-B076-C0E0053D3A34}" name="Norway - CO2 Price" dataDxfId="135">
      <calculatedColumnFormula>IF(ISBLANK(Tb_Fuel38[[#This Row],[Override14]]),Tb_Fuel38[[#This Row],[Norway - CO2 Price]],Tb_Fuel38[[#This Row],[Override14]])</calculatedColumnFormula>
    </tableColumn>
    <tableColumn id="30" xr3:uid="{BDE12865-7A9B-8E4C-A4A2-E3A421B41EFB}" name="Qatar - CO2 Price" dataDxfId="134">
      <calculatedColumnFormula>IF(ISBLANK(Tb_Fuel38[[#This Row],[Override15]]),Tb_Fuel38[[#This Row],[Qatar - CO2 Price]],Tb_Fuel38[[#This Row],[Override15]])</calculatedColumnFormula>
    </tableColumn>
    <tableColumn id="32" xr3:uid="{05A6D38E-4511-504B-A957-B994D005A26D}" name="Global - Diesel" dataDxfId="133">
      <calculatedColumnFormula>IF(ISBLANK(Tb_Fuel38[[#This Row],[Override16]]),Tb_Fuel38[[#This Row],[Global - Diesel]],Tb_Fuel38[[#This Row],[Override16]])</calculatedColumnFormula>
    </tableColumn>
    <tableColumn id="34" xr3:uid="{2D9AFC79-D0C9-1C42-B0B6-4864DE1ECD77}" name="Global - HFO" dataDxfId="132">
      <calculatedColumnFormula>IF(ISBLANK(Tb_Fuel38[[#This Row],[Override17]]),Tb_Fuel38[[#This Row],[Global - HFO]],Tb_Fuel38[[#This Row],[Override17]])</calculatedColumnFormula>
    </tableColumn>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9B49F0-755C-1B4E-8E80-558A2689559D}" name="Tb_Fuel38" displayName="Tb_Fuel38" ref="A4:AU43" totalsRowShown="0" headerRowDxfId="131" headerRowBorderDxfId="130" tableBorderDxfId="129" totalsRowBorderDxfId="128">
  <autoFilter ref="A4:AU43" xr:uid="{B39B49F0-755C-1B4E-8E80-558A2689559D}"/>
  <tableColumns count="47">
    <tableColumn id="1" xr3:uid="{89520C4D-3BBC-494E-9C27-335FBB61A35D}" name="Year" dataDxfId="127"/>
    <tableColumn id="2" xr3:uid="{084FB6FC-5D98-BE4E-85C3-4736E0797429}" name="Germany - Grid" dataDxfId="126">
      <calculatedColumnFormula>B$15</calculatedColumnFormula>
    </tableColumn>
    <tableColumn id="3" xr3:uid="{3E3F2FCF-9BDF-6242-91B1-3CEBE02ABB55}" name="Override" dataDxfId="125"/>
    <tableColumn id="4" xr3:uid="{A018BD2E-00C6-FF41-B286-4031CEFD1833}" name="France - Grid" dataDxfId="124">
      <calculatedColumnFormula>D$15</calculatedColumnFormula>
    </tableColumn>
    <tableColumn id="5" xr3:uid="{411908F1-2F98-2249-BD36-5B923CB41D3B}" name="Override2" dataDxfId="123"/>
    <tableColumn id="6" xr3:uid="{E882FDED-0C5B-D540-BA71-8ED3ABDDFBB6}" name="Spain - Grid" dataDxfId="122"/>
    <tableColumn id="7" xr3:uid="{F90201E2-BD52-6F41-955A-B58D222F176F}" name="Override3" dataDxfId="121"/>
    <tableColumn id="41" xr3:uid="{6627AA5E-BCF9-6F4C-BF04-D25302DA1042}" name="Germany - Feed-in electricity price" dataDxfId="120"/>
    <tableColumn id="40" xr3:uid="{4BF7F7EA-C477-424B-84E3-56F855A4F2A6}" name="Override18" dataDxfId="119"/>
    <tableColumn id="39" xr3:uid="{7F0FC1CA-9F13-5D4A-A5DE-0D3934E836C7}" name="France - Feed-in electricity price" dataDxfId="118"/>
    <tableColumn id="38" xr3:uid="{7CCCEDF6-55C1-2947-8C30-866852D01E60}" name="Override220" dataDxfId="117"/>
    <tableColumn id="37" xr3:uid="{4CFA8469-E8D7-3E4F-BDAF-B87CD300EE10}" name="Spain - Feed-in electricity price" dataDxfId="116"/>
    <tableColumn id="36" xr3:uid="{68749A0C-EA2C-CA49-A923-2760A2F5DE7C}" name="Override322" dataDxfId="115"/>
    <tableColumn id="47" xr3:uid="{4BAC5B8E-A7AE-BB49-9E88-ACF1B82A25E7}" name="Norway - Feed-in electricity price" dataDxfId="114"/>
    <tableColumn id="46" xr3:uid="{EA7EAA24-8EA2-8B4F-BF1A-674807A52A7B}" name="Override183" dataDxfId="113"/>
    <tableColumn id="45" xr3:uid="{B31D4E69-CF23-C247-8750-4A3CD7F5B7B2}" name="Qatar - Feed-in electricity price" dataDxfId="112"/>
    <tableColumn id="44" xr3:uid="{F2B4073A-1D52-9542-8775-C617EA1E4BCE}" name="Override2205" dataDxfId="111"/>
    <tableColumn id="43" xr3:uid="{DD770400-716D-384F-85AE-A66B1DA91EC6}" name="Algeria - Feed-in electricity price" dataDxfId="110"/>
    <tableColumn id="42" xr3:uid="{7DD2A2D2-509F-734D-AB98-37420EF1F885}" name="Override3227" dataDxfId="109"/>
    <tableColumn id="8" xr3:uid="{2C3E6C02-12D4-5B4E-9905-00575BA7C4F5}" name="Germany - Gas" dataDxfId="108">
      <calculatedColumnFormula>T$15</calculatedColumnFormula>
    </tableColumn>
    <tableColumn id="9" xr3:uid="{8BFD0F43-E2CA-F644-AAE2-0EE5B3AE4426}" name="Override4" dataDxfId="107"/>
    <tableColumn id="10" xr3:uid="{A5B37045-FFE3-8147-9485-252B86F8AA67}" name="France - Gas" dataDxfId="106">
      <calculatedColumnFormula>V$15</calculatedColumnFormula>
    </tableColumn>
    <tableColumn id="11" xr3:uid="{733CC7F6-2D3A-2A47-BDD1-2D38D5B749F7}" name="Override5" dataDxfId="105"/>
    <tableColumn id="12" xr3:uid="{C48515DC-5230-3348-926B-C7BA5E4EF265}" name="Spain - Gas" dataDxfId="104">
      <calculatedColumnFormula>X$15</calculatedColumnFormula>
    </tableColumn>
    <tableColumn id="13" xr3:uid="{078E037B-79F0-1949-B86D-D90ADE81524B}" name="Override6" dataDxfId="103"/>
    <tableColumn id="14" xr3:uid="{1BA26E96-8C15-6043-AD38-B59BE20721B8}" name="Algeria - Gas" dataDxfId="102">
      <calculatedColumnFormula>Z$15</calculatedColumnFormula>
    </tableColumn>
    <tableColumn id="15" xr3:uid="{79FF61B5-8DB6-CB43-AB95-0F045FE3FAD7}" name="Override7" dataDxfId="101"/>
    <tableColumn id="16" xr3:uid="{46A13786-A231-C645-A73A-3167C60D207E}" name="Norway - Gas" dataDxfId="100">
      <calculatedColumnFormula>AB$15</calculatedColumnFormula>
    </tableColumn>
    <tableColumn id="17" xr3:uid="{93DE1BBA-9DD7-A04C-A128-EA077683D010}" name="Override8" dataDxfId="99"/>
    <tableColumn id="18" xr3:uid="{68376180-CDC1-BD4D-9A12-A5ACEC797385}" name="Qatar - Gas" dataDxfId="98">
      <calculatedColumnFormula>AD$15</calculatedColumnFormula>
    </tableColumn>
    <tableColumn id="19" xr3:uid="{FBC783C4-E3AA-2947-B5B6-3EABFA7AA784}" name="Override9" dataDxfId="97"/>
    <tableColumn id="20" xr3:uid="{9466EF37-7989-8149-8B1C-F578D2CB3E9C}" name="Germany - CO2 Price" dataDxfId="96">
      <calculatedColumnFormula>AF$15</calculatedColumnFormula>
    </tableColumn>
    <tableColumn id="21" xr3:uid="{0A3B1FAD-3EEB-174E-9F3E-D52D6B27B34F}" name="Override10" dataDxfId="95"/>
    <tableColumn id="22" xr3:uid="{C62F85A1-0DB0-974C-BB22-FBF02CE14A49}" name="France - CO2 Price" dataDxfId="94"/>
    <tableColumn id="23" xr3:uid="{3CB5BAB8-4BD7-FA43-8A0D-13179D1BBD3D}" name="Override11" dataDxfId="93"/>
    <tableColumn id="24" xr3:uid="{EC2DBD0C-2402-4947-AA61-414FAC5D83F1}" name="Spain - CO2 Price" dataDxfId="92"/>
    <tableColumn id="25" xr3:uid="{602F9C5B-D01B-E54F-ACF9-697604ED4FCE}" name="Override12" dataDxfId="91"/>
    <tableColumn id="26" xr3:uid="{B254EB92-B85B-034F-A53C-4E6FBAA3C6D6}" name="Algeria - CO2 Price" dataDxfId="90">
      <calculatedColumnFormula>AL$15</calculatedColumnFormula>
    </tableColumn>
    <tableColumn id="27" xr3:uid="{11839841-1B21-D742-A9FA-DA252289CF8C}" name="Override13" dataDxfId="89"/>
    <tableColumn id="28" xr3:uid="{F5342EC5-46C8-C241-BA2E-7FDA5577F90D}" name="Norway - CO2 Price" dataDxfId="88"/>
    <tableColumn id="29" xr3:uid="{B311C692-12EE-E241-B668-F75FD3E57C66}" name="Override14" dataDxfId="87"/>
    <tableColumn id="30" xr3:uid="{4D01C765-9A88-C14B-B674-6C0E97EA08B8}" name="Qatar - CO2 Price" dataDxfId="86">
      <calculatedColumnFormula>AP$15</calculatedColumnFormula>
    </tableColumn>
    <tableColumn id="31" xr3:uid="{AFCF6C55-A6BE-3947-B743-ADB796739ADC}" name="Override15" dataDxfId="85"/>
    <tableColumn id="32" xr3:uid="{50408D3B-2FFD-C44C-94E4-5A46661BB6A7}" name="Global - Diesel" dataDxfId="84">
      <calculatedColumnFormula>AR$15</calculatedColumnFormula>
    </tableColumn>
    <tableColumn id="33" xr3:uid="{2C987D89-8FED-D245-800D-69A1FD873FCA}" name="Override16" dataDxfId="83"/>
    <tableColumn id="34" xr3:uid="{1A616816-60F5-2F43-8572-0CA11E2ABEF5}" name="Global - HFO" dataDxfId="82">
      <calculatedColumnFormula>AT$15</calculatedColumnFormula>
    </tableColumn>
    <tableColumn id="35" xr3:uid="{13878E44-A6FC-0447-8B84-D52403296A8C}" name="Override17" dataDxfId="81"/>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E8EB90-D6AE-3842-8A42-EB7F96BAFA0D}" name="Table2" displayName="Table2" ref="C1:C4" totalsRowShown="0" headerRowDxfId="80" dataDxfId="79">
  <autoFilter ref="C1:C4" xr:uid="{D7E8EB90-D6AE-3842-8A42-EB7F96BAFA0D}"/>
  <tableColumns count="1">
    <tableColumn id="1" xr3:uid="{737A1B22-6D4F-2E4E-AEAB-98A8CF3F3E3A}" name="Electrolyser types" dataDxfId="78"/>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4313A1-0DA3-4A48-831E-EB2809183B7A}" name="Table4" displayName="Table4" ref="G1:G5" totalsRowShown="0" headerRowDxfId="77" dataDxfId="76">
  <autoFilter ref="G1:G5" xr:uid="{334313A1-0DA3-4A48-831E-EB2809183B7A}"/>
  <tableColumns count="1">
    <tableColumn id="1" xr3:uid="{B41854B0-FFC7-E347-A06C-CAC8BDA3E403}" name="Sources of electricity" dataDxfId="75"/>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8E16D1-C922-544C-AF40-6A9C19C699B6}" name="Table5" displayName="Table5" ref="I1:I10" totalsRowShown="0" headerRowDxfId="74" dataDxfId="73">
  <autoFilter ref="I1:I10" xr:uid="{218E16D1-C922-544C-AF40-6A9C19C699B6}"/>
  <tableColumns count="1">
    <tableColumn id="1" xr3:uid="{2E3D8D76-F727-EF44-AD59-7FAA3CC8DCAC}" name="Project starting years" dataDxfId="72"/>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B67E176-45F1-FC46-BEF0-45A351F2ECC3}" name="Table7" displayName="Table7" ref="K1:K4" totalsRowShown="0" headerRowDxfId="71" dataDxfId="70">
  <autoFilter ref="K1:K4" xr:uid="{5B67E176-45F1-FC46-BEF0-45A351F2ECC3}"/>
  <tableColumns count="1">
    <tableColumn id="1" xr3:uid="{82A0C088-E0D8-2248-9B2E-1D45CE5E1C5D}" name="Production" dataDxfId="69"/>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3CB2C21-649D-604E-9AE4-CA28F44426C1}" name="Table8" displayName="Table8" ref="A1:A4" totalsRowShown="0" headerRowDxfId="68" dataDxfId="67">
  <autoFilter ref="A1:A4" xr:uid="{D3CB2C21-649D-604E-9AE4-CA28F44426C1}"/>
  <tableColumns count="1">
    <tableColumn id="1" xr3:uid="{0E5F3A84-ACD6-3640-BFBC-D9D6FEB96AFB}" name="Destination countries" dataDxfId="66"/>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6D31B95-DC22-D24D-8E70-3350FC227D30}" name="Table11" displayName="Table11" ref="M1:M3" totalsRowShown="0" headerRowDxfId="65" dataDxfId="64">
  <autoFilter ref="M1:M3" xr:uid="{E6D31B95-DC22-D24D-8E70-3350FC227D30}"/>
  <tableColumns count="1">
    <tableColumn id="1" xr3:uid="{C767E618-4B47-FF47-A78F-43BF9E17A95C}" name="YES/NO" dataDxfId="63"/>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B0E24EB-EDD9-8F4A-97E7-1F8EC225B011}" name="Table12" displayName="Table12" ref="O1:O3" totalsRowShown="0" headerRowDxfId="62" dataDxfId="61">
  <autoFilter ref="O1:O3" xr:uid="{AB0E24EB-EDD9-8F4A-97E7-1F8EC225B011}"/>
  <tableColumns count="1">
    <tableColumn id="1" xr3:uid="{D7135FD2-74B6-E342-B93C-6581FE1E85E2}" name="Transmission methods offshore" dataDxfId="60"/>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F2EB30F-A564-5346-A3B8-8EB78A3FE94F}" name="Table13" displayName="Table13" ref="Q1:Q3" totalsRowShown="0" headerRowDxfId="59" dataDxfId="58">
  <autoFilter ref="Q1:Q3" xr:uid="{EF2EB30F-A564-5346-A3B8-8EB78A3FE94F}"/>
  <tableColumns count="1">
    <tableColumn id="1" xr3:uid="{91354C05-F193-3E40-BA8B-B0AB09265F5D}" name="Transmission methods onshore" dataDxfId="57"/>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0F48C0-B156-BD48-89DD-1C110E0814FD}" name="Table14" displayName="Table14" ref="S1:S4" totalsRowShown="0" headerRowDxfId="56" dataDxfId="55">
  <autoFilter ref="S1:S4" xr:uid="{510F48C0-B156-BD48-89DD-1C110E0814FD}"/>
  <tableColumns count="1">
    <tableColumn id="1" xr3:uid="{A927ECEC-8F13-184F-BA5B-73CD5BD91ACC}" name="Pipeline size" dataDxfId="54"/>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201237E-9726-9844-AC2E-FB5113CC43D3}" name="Table15" displayName="Table15" ref="U1:U5" totalsRowShown="0" headerRowDxfId="53" dataDxfId="52">
  <autoFilter ref="U1:U5" xr:uid="{9201237E-9726-9844-AC2E-FB5113CC43D3}"/>
  <tableColumns count="1">
    <tableColumn id="1" xr3:uid="{B4972A16-5F18-9C43-9DA1-3B57A0943298}" name="Carrier" dataDxfId="51"/>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49B95-17D6-3349-B398-524DB9F9EEFD}" name="Tb_ProdLoc" displayName="Tb_ProdLoc" ref="A10:A23" totalsRowShown="0" headerRowDxfId="50" dataDxfId="49">
  <autoFilter ref="A10:A23" xr:uid="{6BE49B95-17D6-3349-B398-524DB9F9EEFD}"/>
  <tableColumns count="1">
    <tableColumn id="1" xr3:uid="{D53F3B62-6B19-5E46-AC83-C364BE27FB11}" name="Production location" dataDxfId="48"/>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8977F5D-5F9F-4BBE-8E52-E1C2D1F1FF39}" name="Table28" displayName="Table28" ref="C10:C19" totalsRowShown="0" headerRowDxfId="47" dataDxfId="46" tableBorderDxfId="45">
  <autoFilter ref="C10:C19" xr:uid="{6EAC05A6-BBCD-46D6-9F65-1A4D675DB90C}"/>
  <tableColumns count="1">
    <tableColumn id="1" xr3:uid="{DAE53D1B-FABE-4498-85F7-6AB79B5241A3}" name="Arrival hub" dataDxfId="44"/>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20BFCBA3-9008-40FA-8872-12A86A313852}" name="Table29" displayName="Table29" ref="E10:E12" totalsRowShown="0" headerRowDxfId="43" dataDxfId="42">
  <autoFilter ref="E10:E12" xr:uid="{B3456C94-8450-44BD-8906-5AEE38BB6CC5}"/>
  <tableColumns count="1">
    <tableColumn id="1" xr3:uid="{4CB7F8A5-8557-4183-B14F-211FA1E288CD}" name="New or repurposed?" dataDxfId="41"/>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A8C647A-98EA-493D-AE01-F6C033333F57}" name="Table30" displayName="Table30" ref="G10:G13" totalsRowShown="0" headerRowDxfId="40" dataDxfId="39">
  <autoFilter ref="G10:G13" xr:uid="{AD00CB5C-0467-4DFC-B440-6FAAEF5DF4C0}"/>
  <tableColumns count="1">
    <tableColumn id="1" xr3:uid="{5E617804-7D25-4D1B-B777-C2AEF54CC3B3}" name="Pipeline size" dataDxfId="38"/>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91029BD-DF18-4671-9140-C5076DFC2A8F}" name="Table31" displayName="Table31" ref="K10:K12" totalsRowShown="0" headerRowDxfId="37" dataDxfId="36">
  <autoFilter ref="K10:K12" xr:uid="{B7DF9ECF-E18E-4460-A3BB-14335A6C8510}"/>
  <tableColumns count="1">
    <tableColumn id="1" xr3:uid="{0352A5F3-F19E-412B-958D-D6D21AAA7DDE}" name="Truck range" dataDxfId="35"/>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47E66C-732C-44A1-ACFC-4F5861AB7EE8}" name="Table3" displayName="Table3" ref="M10:M13" totalsRowShown="0" headerRowDxfId="34" dataDxfId="33">
  <autoFilter ref="M10:M13" xr:uid="{5B0444B0-8550-40A1-B5B7-0DB87C51148F}"/>
  <tableColumns count="1">
    <tableColumn id="1" xr3:uid="{74925597-CF79-4483-B0F8-BF3FB9A6E317}" name="No" dataDxfId="32"/>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A407EF-2CC8-C744-8F9C-634B61ED67F6}" name="Table6" displayName="Table6" ref="O10:O12" totalsRowShown="0" headerRowDxfId="31" dataDxfId="30">
  <autoFilter ref="O10:O12" xr:uid="{37A407EF-2CC8-C744-8F9C-634B61ED67F6}"/>
  <tableColumns count="1">
    <tableColumn id="1" xr3:uid="{F2D3FBB8-DDDC-0D41-905A-EDE36E318ED4}" name="Fuel" dataDxfId="29"/>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BD5BCEA-383F-4B45-8706-586E45189766}" name="Table34" displayName="Table34" ref="Q10:Q26" totalsRowCount="1" headerRowDxfId="28" dataDxfId="27" totalsRowDxfId="26">
  <autoFilter ref="Q10:Q25" xr:uid="{DBD5BCEA-383F-4B45-8706-586E45189766}"/>
  <tableColumns count="1">
    <tableColumn id="1" xr3:uid="{C63C0DF5-3670-8F4C-8A88-603F4D04DBC2}" name="Compression purpose" dataDxfId="25" totalsRowDxfId="24"/>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394A221A-C32D-2848-B102-400FDBAB8E5E}" name="Table35" displayName="Table35" ref="S10:S12" totalsRowShown="0" headerRowDxfId="23" dataDxfId="22">
  <autoFilter ref="S10:S12" xr:uid="{394A221A-C32D-2848-B102-400FDBAB8E5E}"/>
  <tableColumns count="1">
    <tableColumn id="1" xr3:uid="{13778148-519D-A947-8957-261937494B99}" name="Electricity compression" dataDxfId="21"/>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7022806-E0BB-45C5-B69F-309F8DA74A5A}" name="Table26" displayName="Table26" ref="Q29:Q31" totalsRowShown="0" headerRowDxfId="20" dataDxfId="19">
  <autoFilter ref="Q29:Q31" xr:uid="{27022806-E0BB-45C5-B69F-309F8DA74A5A}"/>
  <tableColumns count="1">
    <tableColumn id="1" xr3:uid="{C3F45486-2DB8-4144-B50C-76A7CA558F30}" name="Type of technology" dataDxfId="18"/>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842A2CB-E827-4F8D-A63B-556EED904F11}" name="Table32" displayName="Table32" ref="S27:S31" totalsRowShown="0" headerRowDxfId="17" dataDxfId="16">
  <autoFilter ref="S27:S31" xr:uid="{9842A2CB-E827-4F8D-A63B-556EED904F11}"/>
  <tableColumns count="1">
    <tableColumn id="1" xr3:uid="{9DCF7177-99CE-4B97-BD86-20917A40165C}" name="Liquefier Plant Capacity" dataDxfId="15"/>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4E7187B-E6B9-41B5-8C4A-7C118006EF2E}" name="Table39" displayName="Table39" ref="Q36:Q38" totalsRowShown="0" headerRowDxfId="14" dataDxfId="13">
  <autoFilter ref="Q36:Q38" xr:uid="{44E7187B-E6B9-41B5-8C4A-7C118006EF2E}"/>
  <tableColumns count="1">
    <tableColumn id="1" xr3:uid="{30EE053F-442F-4876-920C-5F4CB5D238A9}" name="Type of converter for the H-B process synloop" dataDxfId="12"/>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28D9F1D5-56D0-4BD6-AC17-7C1178C6E65E}" name="Table41" displayName="Table41" ref="Q40:Q42" totalsRowShown="0" headerRowDxfId="11" dataDxfId="10">
  <autoFilter ref="Q40:Q42" xr:uid="{28D9F1D5-56D0-4BD6-AC17-7C1178C6E65E}"/>
  <tableColumns count="1">
    <tableColumn id="1" xr3:uid="{BD4EC617-ECBD-4223-ADE7-47F46CD44BE1}" name="Type of storage" dataDxfId="9"/>
  </tableColumns>
  <tableStyleInfo name="TableStyleLight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6D98C79-4088-4160-B86A-3B57B8075DD2}" name="Table42" displayName="Table42" ref="S38:S46" totalsRowShown="0" headerRowDxfId="8" dataDxfId="6" headerRowBorderDxfId="7" tableBorderDxfId="5" totalsRowBorderDxfId="4">
  <autoFilter ref="S38:S46" xr:uid="{26D98C79-4088-4160-B86A-3B57B8075DD2}"/>
  <tableColumns count="1">
    <tableColumn id="1" xr3:uid="{D4DA2FCA-D0C6-4584-8AEB-8F31B90622B2}" name="Type of technology" dataDxfId="3"/>
  </tableColumns>
  <tableStyleInfo name="TableStyleLight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D3CFD787-A3E4-7A48-9E28-627C352ABB95}" name="Table46" displayName="Table46" ref="A28:A31" totalsRowShown="0" headerRowDxfId="2" dataDxfId="1">
  <autoFilter ref="A28:A31" xr:uid="{D3CFD787-A3E4-7A48-9E28-627C352ABB95}"/>
  <tableColumns count="1">
    <tableColumn id="1" xr3:uid="{A7651FA6-1EB1-EC4B-B507-FD0E77115DA1}" name="Production metho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 dT="2022-06-15T19:12:03.53" personId="{069B25EE-630A-478B-9263-80E9F8FBBFD7}" id="{3E700BE2-7154-4801-9D90-D6B712D876F6}">
    <text>The operating pressure is considered to be the average between the maximum and minimum pressures considered for each technology.</text>
  </threadedComment>
  <threadedComment ref="G8" dT="2022-06-15T19:15:23.45" personId="{069B25EE-630A-478B-9263-80E9F8FBBFD7}" id="{D63A6A57-0B94-41B2-AC77-77C8B51D9144}">
    <text>The operating pressure is considered to be the average between the maximum and minimum pressures considered for each technology.</text>
  </threadedComment>
  <threadedComment ref="I8" dT="2022-06-15T19:15:29.44" personId="{069B25EE-630A-478B-9263-80E9F8FBBFD7}" id="{32246353-C485-4BF5-9031-68E81A6376AB}">
    <text>The operating pressure is considered to be the average between the maximum and minimum pressures considered for each technology.</text>
  </threadedComment>
  <threadedComment ref="K8" dT="2022-06-15T19:21:39.93" personId="{069B25EE-630A-478B-9263-80E9F8FBBFD7}" id="{DDB16F38-CB21-4AFE-A0A4-94A102F502FE}">
    <text>The operating pressure is considered to be the average between the maximum and minimum pressures considered for each technology.</text>
  </threadedComment>
  <threadedComment ref="M8" dT="2022-06-15T19:21:39.93" personId="{069B25EE-630A-478B-9263-80E9F8FBBFD7}" id="{73F3225B-98E2-4299-9353-7D0DEA5A8B40}">
    <text>The operating pressure is considered to be the average between the maximum and minimum pressures considered for each technology.</text>
  </threadedComment>
  <threadedComment ref="O8" dT="2022-06-15T19:21:39.93" personId="{069B25EE-630A-478B-9263-80E9F8FBBFD7}" id="{601B8A8A-11AF-4527-98D9-D5F574092A79}">
    <text>The operating pressure is considered to be the average between the maximum and minimum pressures considered for each technology.</text>
  </threadedComment>
  <threadedComment ref="Q8" dT="2022-06-15T19:22:52.16" personId="{069B25EE-630A-478B-9263-80E9F8FBBFD7}" id="{10524F20-D702-447E-BEF8-BDB1E30F6B06}">
    <text>The operating pressure is considered to be the average between the maximum and minimum pressures considered for each technology.</text>
  </threadedComment>
  <threadedComment ref="S8" dT="2022-06-15T19:22:52.16" personId="{069B25EE-630A-478B-9263-80E9F8FBBFD7}" id="{6D718682-101D-41DF-A516-3D5F0E9BCA91}">
    <text>The operating pressure is considered to be the average between the maximum and minimum pressures considered for each technology.</text>
  </threadedComment>
  <threadedComment ref="U8" dT="2022-06-15T19:22:52.16" personId="{069B25EE-630A-478B-9263-80E9F8FBBFD7}" id="{FB859E54-C20B-49D7-B0D0-CDFAAD675758}">
    <text>The operating pressure is considered to be the average between the maximum and minimum pressures considered for each technology.</text>
  </threadedComment>
  <threadedComment ref="W8" dT="2022-06-15T19:22:52.16" personId="{069B25EE-630A-478B-9263-80E9F8FBBFD7}" id="{A697B2E4-7AAE-4E57-98ED-20DCF5DDD417}">
    <text>The operating pressure is considered to be the average between the maximum and minimum pressures considered for each technology.</text>
  </threadedComment>
  <threadedComment ref="Y8" dT="2022-06-15T19:22:52.16" personId="{069B25EE-630A-478B-9263-80E9F8FBBFD7}" id="{A2CAB075-C39F-47CD-9122-D5CCB7380BC7}">
    <text>The operating pressure is considered to be the average between the maximum and minimum pressures considered for each technology.</text>
  </threadedComment>
  <threadedComment ref="AA8" dT="2022-06-15T19:22:52.16" personId="{069B25EE-630A-478B-9263-80E9F8FBBFD7}" id="{C034AFB2-57F2-4EE9-93AA-C39DF6FCBDED}">
    <text>The operating pressure is considered to be the average between the maximum and minimum pressures considered for each technology.</text>
  </threadedComment>
  <threadedComment ref="AC8" dT="2022-06-15T19:25:58.54" personId="{069B25EE-630A-478B-9263-80E9F8FBBFD7}" id="{36160D5C-EA0E-4ED8-8182-F2576FEAD742}">
    <text>The operating pressure is considered to be the average between the maximum and minimum pressures considered for each technology.</text>
  </threadedComment>
  <threadedComment ref="AE8" dT="2022-06-15T19:25:58.54" personId="{069B25EE-630A-478B-9263-80E9F8FBBFD7}" id="{326F0C06-450E-467C-9A21-3FB3E957AFC4}">
    <text>The operating pressure is considered to be the average between the maximum and minimum pressures considered for each technology.</text>
  </threadedComment>
  <threadedComment ref="AG8" dT="2022-06-15T19:25:58.54" personId="{069B25EE-630A-478B-9263-80E9F8FBBFD7}" id="{65B450C5-ABC7-49F0-AA82-9DE0DDAE182E}">
    <text>The operating pressure is considered to be the average between the maximum and minimum pressures considered for each technology.</text>
  </threadedComment>
  <threadedComment ref="A10" dT="2022-07-20T00:39:15.63" personId="{069B25EE-630A-478B-9263-80E9F8FBBFD7}" id="{5B7804BC-FE7B-4913-BF13-CA17CA09EF7A}">
    <text>Now, the calculation of density with CoolProp is refering to the pressure and temperature in the sheet "FinalStorage". Maybe this row should be deleted and the CoolProp calculation should be done in the sheet "FinalStorage" directly. Otherwise, it gets a bit confusing.</text>
  </threadedComment>
  <threadedComment ref="K14" dT="2022-06-12T15:57:07.16" personId="{069B25EE-630A-478B-9263-80E9F8FBBFD7}" id="{463BD98C-F21A-4F4D-AAAE-1189089D2D72}">
    <text>Average of the values given by GIE (50%-60%)</text>
  </threadedComment>
  <threadedComment ref="M14" dT="2022-06-12T15:57:07.16" personId="{069B25EE-630A-478B-9263-80E9F8FBBFD7}" id="{922B1CDE-47D6-49B2-8F44-D2D502195D8D}">
    <text>Average of the values given by GIE (50%-60%)</text>
  </threadedComment>
  <threadedComment ref="O14" dT="2022-06-12T15:57:07.16" personId="{069B25EE-630A-478B-9263-80E9F8FBBFD7}" id="{098E9D59-CC4E-4894-A01A-007EFE4368FD}">
    <text>Average of the values given by GIE (50%-60%)</text>
  </threadedComment>
  <threadedComment ref="W14" dT="2022-06-12T15:52:09.13" personId="{069B25EE-630A-478B-9263-80E9F8FBBFD7}" id="{37CE7FFE-9AC3-416A-A285-71E01181A04B}">
    <text>Average value of all the collected cushion gas ratios.</text>
  </threadedComment>
  <threadedComment ref="Y14" dT="2022-06-12T15:52:09.13" personId="{069B25EE-630A-478B-9263-80E9F8FBBFD7}" id="{AE90BF19-EC69-4AA4-9E45-7104F468E7B8}">
    <text>Average value of all the collected cushion gas ratios.</text>
  </threadedComment>
  <threadedComment ref="AA14" dT="2022-06-12T15:52:09.13" personId="{069B25EE-630A-478B-9263-80E9F8FBBFD7}" id="{B9E2A177-9449-4DAB-BA5C-B8004FFDE697}">
    <text>Average value of all the collected cushion gas ratios.</text>
  </threadedComment>
  <threadedComment ref="AC14" dT="2022-06-18T09:52:17.66" personId="{069B25EE-630A-478B-9263-80E9F8FBBFD7}" id="{730B1184-F1B7-4C78-ACA6-DFDC84712EE7}">
    <text>Average value of all the collected cushion gas ratios.</text>
  </threadedComment>
  <threadedComment ref="AE14" dT="2022-06-18T09:52:23.40" personId="{069B25EE-630A-478B-9263-80E9F8FBBFD7}" id="{00F48E0C-2493-4886-8A87-751136B21C8E}">
    <text>Average value of all the collected cushion gas ratios.</text>
  </threadedComment>
  <threadedComment ref="AG14" dT="2022-06-18T09:52:30.06" personId="{069B25EE-630A-478B-9263-80E9F8FBBFD7}" id="{9289B899-9B1E-4EC5-A449-87373B546B2C}">
    <text>Average value of all the collected cushion gas ratios.</text>
  </threadedComment>
  <threadedComment ref="W18" dT="2022-06-29T11:26:33.56" personId="{069B25EE-630A-478B-9263-80E9F8FBBFD7}" id="{A7BE3EDA-4985-48C4-A44A-A4D6EB412CB7}">
    <text>Average scaling factor from collected data</text>
  </threadedComment>
  <threadedComment ref="Y18" dT="2022-06-29T11:26:33.56" personId="{069B25EE-630A-478B-9263-80E9F8FBBFD7}" id="{135C684D-B079-4C27-8183-A97D8F411AFC}">
    <text>Average scaling factor from collected data</text>
  </threadedComment>
  <threadedComment ref="AA18" dT="2022-06-29T11:26:33.56" personId="{069B25EE-630A-478B-9263-80E9F8FBBFD7}" id="{379E3671-7986-4586-A57D-65FFDBBC4A33}">
    <text>Average scaling factor from collected data</text>
  </threadedComment>
  <threadedComment ref="K20" dT="2022-06-29T10:21:24.03" personId="{069B25EE-630A-478B-9263-80E9F8FBBFD7}" id="{5AE43F6B-A008-4AEB-B1B0-5888EE65E9B0}">
    <text>Obtained from collected data</text>
  </threadedComment>
  <threadedComment ref="M20" dT="2022-06-29T10:21:24.03" personId="{069B25EE-630A-478B-9263-80E9F8FBBFD7}" id="{CB858891-242E-4D53-AC37-AD947695D96C}">
    <text>Obtained from collected data</text>
  </threadedComment>
  <threadedComment ref="O20" dT="2022-06-29T10:21:24.03" personId="{069B25EE-630A-478B-9263-80E9F8FBBFD7}" id="{3BCDF08B-3EAF-4AD3-9552-3D8858CE6BDC}">
    <text>Obtained from collected data</text>
  </threadedComment>
  <threadedComment ref="W20" dT="2022-06-29T11:23:57.38" personId="{069B25EE-630A-478B-9263-80E9F8FBBFD7}" id="{41BEBFC0-D729-4915-A99E-3F626AE02BD9}">
    <text>Determined from collected data</text>
  </threadedComment>
  <threadedComment ref="Y20" dT="2022-06-29T11:23:57.38" personId="{069B25EE-630A-478B-9263-80E9F8FBBFD7}" id="{F9E34D34-548C-43AF-9C2C-332B0C572935}">
    <text>Determined from collected data</text>
  </threadedComment>
  <threadedComment ref="AA20" dT="2022-06-29T11:23:57.38" personId="{069B25EE-630A-478B-9263-80E9F8FBBFD7}" id="{2585CB71-9D57-4356-80B3-07F8D9C0B8E4}">
    <text>Determined from collected data</text>
  </threadedComment>
  <threadedComment ref="C21" dT="2022-06-07T12:06:32.21" personId="{069B25EE-630A-478B-9263-80E9F8FBBFD7}" id="{248FDE1C-9419-4CD1-B9BA-D477A0DCB09A}">
    <text>Density=m/V; m=25kg;
H2 Density (T=25ºC, p=160bar) = 11.854 kg/m3</text>
  </threadedComment>
  <threadedComment ref="E21" dT="2022-06-07T12:06:32.21" personId="{069B25EE-630A-478B-9263-80E9F8FBBFD7}" id="{F7148E5B-B3EE-4278-9FFF-4658F3A912BA}">
    <text>Density=m/V; m=25kg;
H2 Density (T=25ºC, p=160bar) = 11.854 kg/m3</text>
  </threadedComment>
  <threadedComment ref="G21" dT="2022-06-07T12:06:32.21" personId="{069B25EE-630A-478B-9263-80E9F8FBBFD7}" id="{759B93F6-8C25-4E4D-A7AC-2F107EC7F8D3}">
    <text>Density=m/V; m=25kg;
H2 Density (T=25ºC, p=160bar) = 11.854 kg/m3</text>
  </threadedComment>
  <threadedComment ref="I21" dT="2022-06-07T12:06:32.21" personId="{069B25EE-630A-478B-9263-80E9F8FBBFD7}" id="{B926EFCD-F430-4DDD-A12A-FB33C7E53981}">
    <text>Density=m/V; m=25kg;
H2 Density (T=25ºC, p=160bar) = 11.854 kg/m3</text>
  </threadedComment>
  <threadedComment ref="K22" dT="2022-06-12T14:40:49.49" personId="{069B25EE-630A-478B-9263-80E9F8FBBFD7}" id="{01090629-F087-4E5F-ABBA-96495435C193}">
    <text>Average pressure between the maximum and minimum pressure of the specific geological reservoir considered.</text>
  </threadedComment>
  <threadedComment ref="M22" dT="2022-06-12T14:40:49.49" personId="{069B25EE-630A-478B-9263-80E9F8FBBFD7}" id="{BDF7E055-0197-4856-815D-5E5FED5F98A1}">
    <text>Average pressure between the maximum and minimum pressure of the specific geological reservoir considered.</text>
  </threadedComment>
  <threadedComment ref="O22" dT="2022-06-12T14:40:49.49" personId="{069B25EE-630A-478B-9263-80E9F8FBBFD7}" id="{822A4E35-1B19-454F-80AA-AE133B235877}">
    <text>Average pressure between the maximum and minimum pressure of the specific geological reservoir considered.</text>
  </threadedComment>
  <threadedComment ref="Q22" dT="2022-06-12T14:17:34.50" personId="{069B25EE-630A-478B-9263-80E9F8FBBFD7}" id="{4F0B0BE5-35A7-409C-918C-2F386988FBFF}">
    <text>Average pressure between the maximum and minimum pressure of the specific geological reservoir considered.</text>
  </threadedComment>
  <threadedComment ref="S22" dT="2022-06-12T14:17:34.50" personId="{069B25EE-630A-478B-9263-80E9F8FBBFD7}" id="{7D4C5B55-AB6D-4415-94BF-49548B67983A}">
    <text>Average pressure between the maximum and minimum pressure of the specific geological reservoir considered.</text>
  </threadedComment>
  <threadedComment ref="U22" dT="2022-06-12T14:17:34.50" personId="{069B25EE-630A-478B-9263-80E9F8FBBFD7}" id="{1B64E8AD-3CA7-43FC-9679-5A99D851F051}">
    <text>Average pressure between the maximum and minimum pressure of the specific geological reservoir considered.</text>
  </threadedComment>
  <threadedComment ref="W22" dT="2022-06-12T14:17:34.50" personId="{069B25EE-630A-478B-9263-80E9F8FBBFD7}" id="{FF4DD48B-B2C0-4661-8B1E-41880EB460C2}">
    <text>Average pressure between the maximum and minimum pressure of the specific geological reservoir considered.</text>
  </threadedComment>
  <threadedComment ref="Y22" dT="2022-06-12T14:17:34.50" personId="{069B25EE-630A-478B-9263-80E9F8FBBFD7}" id="{07E1F5FD-754F-449E-8797-5A0403C7C894}">
    <text>Average pressure between the maximum and minimum pressure of the specific geological reservoir considered.</text>
  </threadedComment>
  <threadedComment ref="AA22" dT="2022-06-12T14:17:34.50" personId="{069B25EE-630A-478B-9263-80E9F8FBBFD7}" id="{D6308AEF-764A-45E1-A14A-586892B3854B}">
    <text>Average pressure between the maximum and minimum pressure of the specific geological reservoir considered.</text>
  </threadedComment>
</ThreadedComments>
</file>

<file path=xl/threadedComments/threadedComment2.xml><?xml version="1.0" encoding="utf-8"?>
<ThreadedComments xmlns="http://schemas.microsoft.com/office/spreadsheetml/2018/threadedcomments" xmlns:x="http://schemas.openxmlformats.org/spreadsheetml/2006/main">
  <threadedComment ref="B35" dT="2022-05-06T09:58:40.42" personId="{41060859-3107-8046-BF35-39227204AD30}" id="{01217CF1-C502-B34F-A659-4CEB61992139}">
    <text>Add formula</text>
  </threadedComment>
</ThreadedComments>
</file>

<file path=xl/threadedComments/threadedComment3.xml><?xml version="1.0" encoding="utf-8"?>
<ThreadedComments xmlns="http://schemas.microsoft.com/office/spreadsheetml/2018/threadedcomments" xmlns:x="http://schemas.openxmlformats.org/spreadsheetml/2006/main">
  <threadedComment ref="L11" dT="2022-06-25T11:55:02.27" personId="{069B25EE-630A-478B-9263-80E9F8FBBFD7}" id="{BC50AD3A-0D0F-4F03-8303-49B2D48147EB}">
    <text>This cell doesn't update when the user overrides the value of liq. plant capacity</text>
  </threadedComment>
</ThreadedComments>
</file>

<file path=xl/threadedComments/threadedComment4.xml><?xml version="1.0" encoding="utf-8"?>
<ThreadedComments xmlns="http://schemas.microsoft.com/office/spreadsheetml/2018/threadedcomments" xmlns:x="http://schemas.openxmlformats.org/spreadsheetml/2006/main">
  <threadedComment ref="O10" dT="2022-06-24T12:08:29.87" personId="{069B25EE-630A-478B-9263-80E9F8FBBFD7}" id="{2CEE5245-DAB6-4843-ABC3-EA00B8274F97}">
    <text>Either connnected to "transmission by land" or "final storage".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olprop.org/index.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pii/S0959652618321486" TargetMode="External"/><Relationship Id="rId13" Type="http://schemas.openxmlformats.org/officeDocument/2006/relationships/hyperlink" Target="https://www.sciencedirect.com/science/article/pii/S0959652618321486" TargetMode="External"/><Relationship Id="rId18" Type="http://schemas.openxmlformats.org/officeDocument/2006/relationships/hyperlink" Target="https://www.sciencedirect.com/science/article/pii/S0959652618321486" TargetMode="External"/><Relationship Id="rId3" Type="http://schemas.openxmlformats.org/officeDocument/2006/relationships/hyperlink" Target="https://www.sciencedirect.com/science/article/pii/S136403211200696X" TargetMode="External"/><Relationship Id="rId21" Type="http://schemas.openxmlformats.org/officeDocument/2006/relationships/table" Target="../tables/table1.xml"/><Relationship Id="rId7" Type="http://schemas.openxmlformats.org/officeDocument/2006/relationships/hyperlink" Target="https://www.sciencedirect.com/science/article/pii/S0959652618321486" TargetMode="External"/><Relationship Id="rId12" Type="http://schemas.openxmlformats.org/officeDocument/2006/relationships/hyperlink" Target="https://www.sciencedirect.com/science/article/pii/S0959652618321486" TargetMode="External"/><Relationship Id="rId17" Type="http://schemas.openxmlformats.org/officeDocument/2006/relationships/hyperlink" Target="https://www.sciencedirect.com/science/article/pii/S0959652618321486" TargetMode="External"/><Relationship Id="rId2" Type="http://schemas.openxmlformats.org/officeDocument/2006/relationships/hyperlink" Target="https://www.sciencedirect.com/science/article/pii/S0959652618321486" TargetMode="External"/><Relationship Id="rId16" Type="http://schemas.openxmlformats.org/officeDocument/2006/relationships/hyperlink" Target="https://www.sciencedirect.com/science/article/pii/S0959652618321486" TargetMode="External"/><Relationship Id="rId20" Type="http://schemas.openxmlformats.org/officeDocument/2006/relationships/vmlDrawing" Target="../drawings/vmlDrawing2.vml"/><Relationship Id="rId1" Type="http://schemas.openxmlformats.org/officeDocument/2006/relationships/hyperlink" Target="https://www.sciencedirect.com/science/article/pii/S0959652618321486" TargetMode="External"/><Relationship Id="rId6" Type="http://schemas.openxmlformats.org/officeDocument/2006/relationships/hyperlink" Target="https://www.sciencedirect.com/science/article/pii/S036054422030894X" TargetMode="External"/><Relationship Id="rId11" Type="http://schemas.openxmlformats.org/officeDocument/2006/relationships/hyperlink" Target="https://www.sciencedirect.com/science/article/pii/S0959652618321486" TargetMode="External"/><Relationship Id="rId5" Type="http://schemas.openxmlformats.org/officeDocument/2006/relationships/hyperlink" Target="https://www.sciencedirect.com/science/article/pii/S0959652618321486" TargetMode="External"/><Relationship Id="rId15" Type="http://schemas.openxmlformats.org/officeDocument/2006/relationships/hyperlink" Target="https://www.sciencedirect.com/science/article/pii/S0959652618321486" TargetMode="External"/><Relationship Id="rId10" Type="http://schemas.openxmlformats.org/officeDocument/2006/relationships/hyperlink" Target="https://www.sciencedirect.com/science/article/pii/S0959652618321486" TargetMode="External"/><Relationship Id="rId19" Type="http://schemas.openxmlformats.org/officeDocument/2006/relationships/printerSettings" Target="../printerSettings/printerSettings2.bin"/><Relationship Id="rId4" Type="http://schemas.openxmlformats.org/officeDocument/2006/relationships/hyperlink" Target="https://www.sciencedirect.com/science/article/pii/S0959652618321486" TargetMode="External"/><Relationship Id="rId9" Type="http://schemas.openxmlformats.org/officeDocument/2006/relationships/hyperlink" Target="https://reader.elsevier.com/reader/sd/pii/S0301421517301763?token=D73939DA44104A6F8BF5E126B28C258CD37CE18843A21339C4F3EA5F27AD5966134A4C967F907B6D7C80573181D47806&amp;originRegion=eu-west-1&amp;originCreation=20220404114747" TargetMode="External"/><Relationship Id="rId14" Type="http://schemas.openxmlformats.org/officeDocument/2006/relationships/hyperlink" Target="https://www.sciencedirect.com/science/article/pii/S0959652618321486" TargetMode="External"/><Relationship Id="rId2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6" Type="http://schemas.openxmlformats.org/officeDocument/2006/relationships/hyperlink" Target="https://iea.blob.core.windows.net/assets/9e3a3493-b9a6-4b7d-b499-7ca48e357561/The_Future_of_Hydrogen.pdf" TargetMode="External"/><Relationship Id="rId117" Type="http://schemas.openxmlformats.org/officeDocument/2006/relationships/vmlDrawing" Target="../drawings/vmlDrawing6.vml"/><Relationship Id="rId21" Type="http://schemas.openxmlformats.org/officeDocument/2006/relationships/hyperlink" Target="https://www.storeandgo.info/fileadmin/downloads/deliverables_2019/20190801-STOREandGO-D7.7-EIL-Analysis_on_future_technology_options_and_on_techno-economic_optimization.pdf" TargetMode="External"/><Relationship Id="rId42" Type="http://schemas.openxmlformats.org/officeDocument/2006/relationships/hyperlink" Target="https://pubs.acs.org/doi/10.1021/acsenergylett.1c01375" TargetMode="External"/><Relationship Id="rId47" Type="http://schemas.openxmlformats.org/officeDocument/2006/relationships/hyperlink" Target="https://www.fch.europa.eu/sites/default/files/study%20electrolyser_0.pdf" TargetMode="External"/><Relationship Id="rId63"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68" Type="http://schemas.openxmlformats.org/officeDocument/2006/relationships/hyperlink" Target="https://guidehouseinsights.com/news-and-views/global-capacity-for-water-electrolysis-technologies-is-expected-to-grow-at-a-compound-annual-growth?msclkid=8808ba3db66211ec8b7bac9ff9909db5" TargetMode="External"/><Relationship Id="rId84"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89" Type="http://schemas.openxmlformats.org/officeDocument/2006/relationships/hyperlink" Target="https://irena.org/-/media/Files/IRENA/Agency/Publication/2020/Dec/IRENA_Green_hydrogen_cost_2020.pdf" TargetMode="External"/><Relationship Id="rId112"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6" Type="http://schemas.openxmlformats.org/officeDocument/2006/relationships/hyperlink" Target="https://www.storeandgo.info/fileadmin/downloads/deliverables_2019/20190801-STOREandGO-D7.7-EIL-Analysis_on_future_technology_options_and_on_techno-economic_optimization.pdf" TargetMode="External"/><Relationship Id="rId107"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1" Type="http://schemas.openxmlformats.org/officeDocument/2006/relationships/hyperlink" Target="https://www-sciencedirect-com.focus.lib.kth.se/science/article/pii/S0360319919337061?via%3Dihub" TargetMode="External"/><Relationship Id="rId32" Type="http://schemas.openxmlformats.org/officeDocument/2006/relationships/hyperlink" Target="https://www.fch.europa.eu/sites/default/files/study%20electrolyser_0.pdf" TargetMode="External"/><Relationship Id="rId37" Type="http://schemas.openxmlformats.org/officeDocument/2006/relationships/hyperlink" Target="https://irena.org/-/media/Files/IRENA/Agency/Publication/2020/Dec/IRENA_Green_hydrogen_cost_2020.pdf" TargetMode="External"/><Relationship Id="rId53" Type="http://schemas.openxmlformats.org/officeDocument/2006/relationships/hyperlink" Target="https://publications.jrc.ec.europa.eu/repository/handle/JRC109698" TargetMode="External"/><Relationship Id="rId58"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74"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79"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102" Type="http://schemas.openxmlformats.org/officeDocument/2006/relationships/hyperlink" Target="https://www.energypartnership-algeria.org/fileadmin/user_upload/algeria/21_12_07_Hydrog&#232;ne_vert_en_Alg&#233;rie_-_Rapport_PE.pdf" TargetMode="External"/><Relationship Id="rId123" Type="http://schemas.openxmlformats.org/officeDocument/2006/relationships/comments" Target="../comments6.xml"/><Relationship Id="rId5" Type="http://schemas.openxmlformats.org/officeDocument/2006/relationships/hyperlink" Target="https://www-sciencedirect-com.focus.lib.kth.se/science/article/pii/S0360319919337061?via%3Dihub" TargetMode="External"/><Relationship Id="rId90"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95"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22" Type="http://schemas.openxmlformats.org/officeDocument/2006/relationships/hyperlink" Target="https://www.storeandgo.info/fileadmin/downloads/deliverables_2019/20190801-STOREandGO-D7.7-EIL-Analysis_on_future_technology_options_and_on_techno-economic_optimization.pdf" TargetMode="External"/><Relationship Id="rId27" Type="http://schemas.openxmlformats.org/officeDocument/2006/relationships/hyperlink" Target="https://iea.blob.core.windows.net/assets/9e3a3493-b9a6-4b7d-b499-7ca48e357561/The_Future_of_Hydrogen.pdf" TargetMode="External"/><Relationship Id="rId43" Type="http://schemas.openxmlformats.org/officeDocument/2006/relationships/hyperlink" Target="https://iea.blob.core.windows.net/assets/9e3a3493-b9a6-4b7d-b499-7ca48e357561/The_Future_of_Hydrogen.pdf" TargetMode="External"/><Relationship Id="rId48" Type="http://schemas.openxmlformats.org/officeDocument/2006/relationships/hyperlink" Target="https://www.fch.europa.eu/sites/default/files/study%20electrolyser_0.pdf" TargetMode="External"/><Relationship Id="rId64"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69" Type="http://schemas.openxmlformats.org/officeDocument/2006/relationships/hyperlink" Target="https://guidehouseinsights.com/news-and-views/global-capacity-for-water-electrolysis-technologies-is-expected-to-grow-at-a-compound-annual-growth?msclkid=8808ba3db66211ec8b7bac9ff9909db5" TargetMode="External"/><Relationship Id="rId113"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18" Type="http://schemas.openxmlformats.org/officeDocument/2006/relationships/table" Target="../tables/table2.xml"/><Relationship Id="rId80"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85"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12" Type="http://schemas.openxmlformats.org/officeDocument/2006/relationships/hyperlink" Target="https://www-sciencedirect-com.focus.lib.kth.se/science/article/pii/S0360319919337061?via%3Dihub" TargetMode="External"/><Relationship Id="rId17" Type="http://schemas.openxmlformats.org/officeDocument/2006/relationships/hyperlink" Target="https://www.storeandgo.info/fileadmin/downloads/deliverables_2019/20190801-STOREandGO-D7.7-EIL-Analysis_on_future_technology_options_and_on_techno-economic_optimization.pdf" TargetMode="External"/><Relationship Id="rId33" Type="http://schemas.openxmlformats.org/officeDocument/2006/relationships/hyperlink" Target="https://www.fch.europa.eu/sites/default/files/study%20electrolyser_0.pdf" TargetMode="External"/><Relationship Id="rId38" Type="http://schemas.openxmlformats.org/officeDocument/2006/relationships/hyperlink" Target="https://irena.org/-/media/Files/IRENA/Agency/Publication/2020/Dec/IRENA_Green_hydrogen_cost_2020.pdf" TargetMode="External"/><Relationship Id="rId59"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03"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108"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54" Type="http://schemas.openxmlformats.org/officeDocument/2006/relationships/hyperlink" Target="https://publications.jrc.ec.europa.eu/repository/handle/JRC109698" TargetMode="External"/><Relationship Id="rId70" Type="http://schemas.openxmlformats.org/officeDocument/2006/relationships/hyperlink" Target="https://onlinelibrary.wiley.com/doi/epdf/10.1002/ceat.201600414?saml_referrer" TargetMode="External"/><Relationship Id="rId75"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91"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96" Type="http://schemas.openxmlformats.org/officeDocument/2006/relationships/hyperlink" Target="https://www.energypartnership-algeria.org/fileadmin/user_upload/algeria/21_12_07_Hydrog&#232;ne_vert_en_Alg&#233;rie_-_Rapport_PE.pdf" TargetMode="External"/><Relationship Id="rId1" Type="http://schemas.openxmlformats.org/officeDocument/2006/relationships/hyperlink" Target="https://www-sciencedirect-com.focus.lib.kth.se/science/article/pii/S0360319919337061?via%3Dihub" TargetMode="External"/><Relationship Id="rId6" Type="http://schemas.openxmlformats.org/officeDocument/2006/relationships/hyperlink" Target="https://www-sciencedirect-com.focus.lib.kth.se/science/article/pii/S0360319919337061?via%3Dihub" TargetMode="External"/><Relationship Id="rId23" Type="http://schemas.openxmlformats.org/officeDocument/2006/relationships/hyperlink" Target="https://www.storeandgo.info/fileadmin/downloads/deliverables_2019/20190801-STOREandGO-D7.7-EIL-Analysis_on_future_technology_options_and_on_techno-economic_optimization.pdf" TargetMode="External"/><Relationship Id="rId28" Type="http://schemas.openxmlformats.org/officeDocument/2006/relationships/hyperlink" Target="https://www.fch.europa.eu/sites/default/files/study%20electrolyser_0.pdf" TargetMode="External"/><Relationship Id="rId49" Type="http://schemas.openxmlformats.org/officeDocument/2006/relationships/hyperlink" Target="https://publications.jrc.ec.europa.eu/repository/handle/JRC109698" TargetMode="External"/><Relationship Id="rId114" Type="http://schemas.openxmlformats.org/officeDocument/2006/relationships/hyperlink" Target="https://www-sciencedirect-com.focus.lib.kth.se/science/article/pii/S0306261921012964" TargetMode="External"/><Relationship Id="rId119" Type="http://schemas.openxmlformats.org/officeDocument/2006/relationships/table" Target="../tables/table3.xml"/><Relationship Id="rId44" Type="http://schemas.openxmlformats.org/officeDocument/2006/relationships/hyperlink" Target="https://iea.blob.core.windows.net/assets/9e3a3493-b9a6-4b7d-b499-7ca48e357561/The_Future_of_Hydrogen.pdf" TargetMode="External"/><Relationship Id="rId60" Type="http://schemas.openxmlformats.org/officeDocument/2006/relationships/hyperlink" Target="https://reader.elsevier.com/reader/sd/pii/S0360319908002954?token=5F8C4F3D7C803FC95B9A9FAEEE0B34EB5BB61FFE9BDBA3597EC5E832D3CC0A3921C1AF04A13A218B83FBB3316620826F&amp;originRegion=eu-west-1&amp;originCreation=20220404133105" TargetMode="External"/><Relationship Id="rId65"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81"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86" Type="http://schemas.openxmlformats.org/officeDocument/2006/relationships/hyperlink" Target="https://www.renewables.ninja/" TargetMode="External"/><Relationship Id="rId4" Type="http://schemas.openxmlformats.org/officeDocument/2006/relationships/hyperlink" Target="https://www-sciencedirect-com.focus.lib.kth.se/science/article/pii/S0360319919337061?via%3Dihub" TargetMode="External"/><Relationship Id="rId9" Type="http://schemas.openxmlformats.org/officeDocument/2006/relationships/hyperlink" Target="https://www-sciencedirect-com.focus.lib.kth.se/science/article/pii/S0360319919337061?via%3Dihub" TargetMode="External"/><Relationship Id="rId13" Type="http://schemas.openxmlformats.org/officeDocument/2006/relationships/hyperlink" Target="https://www.storeandgo.info/fileadmin/downloads/deliverables_2019/20190801-STOREandGO-D7.7-EIL-Analysis_on_future_technology_options_and_on_techno-economic_optimization.pdf" TargetMode="External"/><Relationship Id="rId18" Type="http://schemas.openxmlformats.org/officeDocument/2006/relationships/hyperlink" Target="https://www.storeandgo.info/fileadmin/downloads/deliverables_2019/20190801-STOREandGO-D7.7-EIL-Analysis_on_future_technology_options_and_on_techno-economic_optimization.pdf" TargetMode="External"/><Relationship Id="rId39" Type="http://schemas.openxmlformats.org/officeDocument/2006/relationships/hyperlink" Target="https://irena.org/-/media/Files/IRENA/Agency/Publication/2020/Dec/IRENA_Green_hydrogen_cost_2020.pdf" TargetMode="External"/><Relationship Id="rId109"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34" Type="http://schemas.openxmlformats.org/officeDocument/2006/relationships/hyperlink" Target="https://www.fch.europa.eu/sites/default/files/study%20electrolyser_0.pdf" TargetMode="External"/><Relationship Id="rId50" Type="http://schemas.openxmlformats.org/officeDocument/2006/relationships/hyperlink" Target="https://publications.jrc.ec.europa.eu/repository/handle/JRC109698" TargetMode="External"/><Relationship Id="rId55" Type="http://schemas.openxmlformats.org/officeDocument/2006/relationships/hyperlink" Target="https://publications.jrc.ec.europa.eu/repository/handle/JRC106897" TargetMode="External"/><Relationship Id="rId76" Type="http://schemas.openxmlformats.org/officeDocument/2006/relationships/hyperlink" Target="https://reader.elsevier.com/reader/sd/pii/S0196890415010778?token=8F7A447CF0DF7769050F73558B4E5EF07924130F33C9FFE5B1A1AE7313D29EA87DF279062D721C837D7D7281D53911EE&amp;originRegion=eu-west-1&amp;originCreation=20220408124211" TargetMode="External"/><Relationship Id="rId97" Type="http://schemas.openxmlformats.org/officeDocument/2006/relationships/hyperlink" Target="https://www.renewables.ninja/" TargetMode="External"/><Relationship Id="rId104"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20" Type="http://schemas.openxmlformats.org/officeDocument/2006/relationships/table" Target="../tables/table4.xml"/><Relationship Id="rId7" Type="http://schemas.openxmlformats.org/officeDocument/2006/relationships/hyperlink" Target="https://www-sciencedirect-com.focus.lib.kth.se/science/article/pii/S0360319919337061?via%3Dihub" TargetMode="External"/><Relationship Id="rId71" Type="http://schemas.openxmlformats.org/officeDocument/2006/relationships/hyperlink" Target="https://onlinelibrary.wiley.com/doi/epdf/10.1002/ceat.201600414?saml_referrer" TargetMode="External"/><Relationship Id="rId92"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2" Type="http://schemas.openxmlformats.org/officeDocument/2006/relationships/hyperlink" Target="https://www-sciencedirect-com.focus.lib.kth.se/science/article/pii/S0360319919337061?via%3Dihub" TargetMode="External"/><Relationship Id="rId29" Type="http://schemas.openxmlformats.org/officeDocument/2006/relationships/hyperlink" Target="https://www.fch.europa.eu/sites/default/files/study%20electrolyser_0.pdf" TargetMode="External"/><Relationship Id="rId24" Type="http://schemas.openxmlformats.org/officeDocument/2006/relationships/hyperlink" Target="https://www.storeandgo.info/fileadmin/downloads/deliverables_2019/20190801-STOREandGO-D7.7-EIL-Analysis_on_future_technology_options_and_on_techno-economic_optimization.pdf" TargetMode="External"/><Relationship Id="rId40" Type="http://schemas.openxmlformats.org/officeDocument/2006/relationships/hyperlink" Target="https://irena.org/-/media/Files/IRENA/Agency/Publication/2020/Dec/IRENA_Green_hydrogen_cost_2020.pdf" TargetMode="External"/><Relationship Id="rId45" Type="http://schemas.openxmlformats.org/officeDocument/2006/relationships/hyperlink" Target="https://iea.blob.core.windows.net/assets/9e3a3493-b9a6-4b7d-b499-7ca48e357561/The_Future_of_Hydrogen.pdf" TargetMode="External"/><Relationship Id="rId66" Type="http://schemas.openxmlformats.org/officeDocument/2006/relationships/hyperlink" Target="https://reader.elsevier.com/reader/sd/pii/S0360319908002954?token=5F8C4F3D7C803FC95B9A9FAEEE0B34EB5BB61FFE9BDBA3597EC5E832D3CC0A3921C1AF04A13A218B83FBB3316620826F&amp;originRegion=eu-west-1&amp;originCreation=20220404133105" TargetMode="External"/><Relationship Id="rId87" Type="http://schemas.openxmlformats.org/officeDocument/2006/relationships/hyperlink" Target="https://irena.org/-/media/Files/IRENA/Agency/Publication/2020/Dec/IRENA_Green_hydrogen_cost_2020.pdf" TargetMode="External"/><Relationship Id="rId110"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15"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61" Type="http://schemas.openxmlformats.org/officeDocument/2006/relationships/hyperlink" Target="https://iea.blob.core.windows.net/assets/9e3a3493-b9a6-4b7d-b499-7ca48e357561/The_Future_of_Hydrogen.pdf" TargetMode="External"/><Relationship Id="rId82"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19" Type="http://schemas.openxmlformats.org/officeDocument/2006/relationships/hyperlink" Target="https://guidehouseinsights.com/news-and-views/global-capacity-for-water-electrolysis-technologies-is-expected-to-grow-at-a-compound-annual-growth?msclkid=8808ba3db66211ec8b7bac9ff9909db5" TargetMode="External"/><Relationship Id="rId14" Type="http://schemas.openxmlformats.org/officeDocument/2006/relationships/hyperlink" Target="https://www.storeandgo.info/fileadmin/downloads/deliverables_2019/20190801-STOREandGO-D7.7-EIL-Analysis_on_future_technology_options_and_on_techno-economic_optimization.pdf" TargetMode="External"/><Relationship Id="rId30" Type="http://schemas.openxmlformats.org/officeDocument/2006/relationships/hyperlink" Target="https://www.fch.europa.eu/sites/default/files/study%20electrolyser_0.pdf" TargetMode="External"/><Relationship Id="rId35" Type="http://schemas.openxmlformats.org/officeDocument/2006/relationships/hyperlink" Target="https://www.fch.europa.eu/sites/default/files/study%20electrolyser_0.pdf" TargetMode="External"/><Relationship Id="rId56" Type="http://schemas.openxmlformats.org/officeDocument/2006/relationships/hyperlink" Target="https://publications.jrc.ec.europa.eu/repository/handle/JRC106897" TargetMode="External"/><Relationship Id="rId77"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100" Type="http://schemas.openxmlformats.org/officeDocument/2006/relationships/hyperlink" Target="https://www.renewables.ninja/" TargetMode="External"/><Relationship Id="rId105"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8" Type="http://schemas.openxmlformats.org/officeDocument/2006/relationships/hyperlink" Target="https://www-sciencedirect-com.focus.lib.kth.se/science/article/pii/S0360319919337061?via%3Dihub" TargetMode="External"/><Relationship Id="rId51" Type="http://schemas.openxmlformats.org/officeDocument/2006/relationships/hyperlink" Target="https://publications.jrc.ec.europa.eu/repository/handle/JRC109698" TargetMode="External"/><Relationship Id="rId72" Type="http://schemas.openxmlformats.org/officeDocument/2006/relationships/hyperlink" Target="https://onlinelibrary.wiley.com/doi/epdf/10.1002/ceat.201600414?saml_referrer" TargetMode="External"/><Relationship Id="rId93"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98" Type="http://schemas.openxmlformats.org/officeDocument/2006/relationships/hyperlink" Target="https://www.renewables.ninja/" TargetMode="External"/><Relationship Id="rId121" Type="http://schemas.openxmlformats.org/officeDocument/2006/relationships/table" Target="../tables/table5.xml"/><Relationship Id="rId3" Type="http://schemas.openxmlformats.org/officeDocument/2006/relationships/hyperlink" Target="https://www-sciencedirect-com.focus.lib.kth.se/science/article/pii/S0360319919337061?via%3Dihub" TargetMode="External"/><Relationship Id="rId25" Type="http://schemas.openxmlformats.org/officeDocument/2006/relationships/hyperlink" Target="https://www.storeandgo.info/fileadmin/downloads/deliverables_2019/20190801-STOREandGO-D7.7-EIL-Analysis_on_future_technology_options_and_on_techno-economic_optimization.pdf" TargetMode="External"/><Relationship Id="rId46" Type="http://schemas.openxmlformats.org/officeDocument/2006/relationships/hyperlink" Target="https://www.fch.europa.eu/sites/default/files/study%20electrolyser_0.pdf" TargetMode="External"/><Relationship Id="rId67"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16" Type="http://schemas.openxmlformats.org/officeDocument/2006/relationships/printerSettings" Target="../printerSettings/printerSettings9.bin"/><Relationship Id="rId20" Type="http://schemas.openxmlformats.org/officeDocument/2006/relationships/hyperlink" Target="https://www.storeandgo.info/fileadmin/downloads/deliverables_2019/20190801-STOREandGO-D7.7-EIL-Analysis_on_future_technology_options_and_on_techno-economic_optimization.pdf" TargetMode="External"/><Relationship Id="rId41" Type="http://schemas.openxmlformats.org/officeDocument/2006/relationships/hyperlink" Target="https://irena.org/-/media/Files/IRENA/Agency/Publication/2020/Dec/IRENA_Green_hydrogen_cost_2020.pdf" TargetMode="External"/><Relationship Id="rId62" Type="http://schemas.openxmlformats.org/officeDocument/2006/relationships/hyperlink" Target="https://reader.elsevier.com/reader/sd/pii/S0196890422000413?token=EF2396F148928893C2CECDE2F9C8C942B880D744C784A9672712F05653A03CABB575ACA2C45FD112E556FA58843D5C51&amp;originRegion=eu-west-1&amp;originCreation=20220316124804" TargetMode="External"/><Relationship Id="rId83"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88" Type="http://schemas.openxmlformats.org/officeDocument/2006/relationships/hyperlink" Target="https://irena.org/-/media/Files/IRENA/Agency/Publication/2020/Dec/IRENA_Green_hydrogen_cost_2020.pdf" TargetMode="External"/><Relationship Id="rId111"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5" Type="http://schemas.openxmlformats.org/officeDocument/2006/relationships/hyperlink" Target="https://www.storeandgo.info/fileadmin/downloads/deliverables_2019/20190801-STOREandGO-D7.7-EIL-Analysis_on_future_technology_options_and_on_techno-economic_optimization.pdf" TargetMode="External"/><Relationship Id="rId36" Type="http://schemas.openxmlformats.org/officeDocument/2006/relationships/hyperlink" Target="https://irena.org/-/media/Files/IRENA/Agency/Publication/2020/Dec/IRENA_Green_hydrogen_cost_2020.pdf" TargetMode="External"/><Relationship Id="rId57" Type="http://schemas.openxmlformats.org/officeDocument/2006/relationships/hyperlink" Target="https://publications.jrc.ec.europa.eu/repository/handle/JRC106897" TargetMode="External"/><Relationship Id="rId106"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10" Type="http://schemas.openxmlformats.org/officeDocument/2006/relationships/hyperlink" Target="https://www-sciencedirect-com.focus.lib.kth.se/science/article/pii/S0360319919337061?via%3Dihub" TargetMode="External"/><Relationship Id="rId31" Type="http://schemas.openxmlformats.org/officeDocument/2006/relationships/hyperlink" Target="https://www.fch.europa.eu/sites/default/files/study%20electrolyser_0.pdf" TargetMode="External"/><Relationship Id="rId52" Type="http://schemas.openxmlformats.org/officeDocument/2006/relationships/hyperlink" Target="https://publications.jrc.ec.europa.eu/repository/handle/JRC109698" TargetMode="External"/><Relationship Id="rId73" Type="http://schemas.openxmlformats.org/officeDocument/2006/relationships/hyperlink" Target="https://onlinelibrary.wiley.com/doi/epdf/10.1002/ceat.201600414?saml_referrer" TargetMode="External"/><Relationship Id="rId78" Type="http://schemas.openxmlformats.org/officeDocument/2006/relationships/hyperlink" Target="https://reader.elsevier.com/reader/sd/pii/S0306261921008667?token=A194DDDE6F81411A777112DC83CE6EC433D127B799A315257DA7EF3F4B3A3EB794F014F350455EDDFC688C17D6D753EE&amp;originRegion=eu-west-1&amp;originCreation=20220408081102" TargetMode="External"/><Relationship Id="rId94" Type="http://schemas.openxmlformats.org/officeDocument/2006/relationships/hyperlink" Target="https://pdf.sciencedirectassets.com/273596/1-s2.0-S1750583621X00059/1-s2.0-S1750583621001195/main.pdf?X-Amz-Security-Token=IQoJb3JpZ2luX2VjEHEaCXVzLWVhc3QtMSJGMEQCIC5Xl%2B2ypDyZSxHRo5WUpRTetdSD9L8JmgTwjhyvGQV6AiA9FmI0vNIqApVu9TmXndy2tdc9rwawckvMUDCLw8bBhyr6AwgqEAQaDDA1OTAwMzU0Njg2NSIMsugEM2WEhHR%2BKj9jKtcDnvYwgJYYQiZ4VO1xCc8VgsYSwjGM2aa%2FSWhbPygkIzqLKRudgAKoiK80dvjI6Ur%2Bh32dU8VJrAJh80cmg7BbpbvtrF0fM9n9JNgk8LXTXAqnR%2FnNCUP8QOUWdQJFMSdzDkFyApbYXn7OH%2F2o%2FEJNg368DtoXvYh5ZSFMsdRU%2FSCNyBAoZo1PnL2cWoHph%2F2qRtnobu2f%2FKNLJNIOz3Xxk0SagAJlRKLQ4nIodVjAuKYbQIbD8seOumgO04YOrsM9FoSIkSbGxXCcwAwXnzAkfBWSFGkS2AT8ooQJbJsUwgst8TlQqa8WLyYmlfBIUCkNIVB1vhyeECerSScsnCBVFseHx7LjUfOmXom%2Ff3ayVw4m7qLVVtdm%2BAFuemcGYrZpfKmrGEerPPU5gZS0R%2FrUuGoFuwgm5nkzDTVnrRaW0rE%2FuJQN5w6strAP4lHk6UA0p5ljAlKsWw2l8nxAV%2BsQ%2BNuvOIHBu%2FkaBsTOKPnaVSaj8oKEBBo0s39vMMU4J9uANZF80xbxHfjpFChUQz4OLCjwW8xRvYWOeTFJmVIujGU17OTkWHPHRYxFIsGRd4Vk7Z0k3O05Q6m4q8fseWvW7qxA3VoYFQjtGb%2BWOU9vumDMt2Bv9GDQMKethJMGOqYBCUcvjSzb8rmtw2LIFFNknSNJ3awPxHb0NytCRfHxwlUWXEacO0drNddHgVAFyIqgLaMRV3gTZQf5ZsB0VHnkgZh4oQm3OB2n%2FNwqULBu9YP2jRWv8Gs5iVy7Fyyjc5PSv08KDRnIWbCo1I%2FDA7X1FNkXEHL0LGTjc6IXco9J00eCEeR79qHr18%2BzRwK6tVC3sfOOfXmRXkTzAVfwlodbK7Uo%2By%2FcXA%3D%3D&amp;X-Amz-Algorithm=AWS4-HMAC-SHA256&amp;X-Amz-Date=20220421T090753Z&amp;X-Amz-SignedHeaders=host&amp;X-Amz-Expires=300&amp;X-Amz-Credential=ASIAQ3PHCVTY77PCOR5E%2F20220421%2Fus-east-1%2Fs3%2Faws4_request&amp;X-Amz-Signature=ce90ae0a7cc72fee74f7bd58776b4db4feecb0bda5feda259a9fd6085d3cca50&amp;hash=8bafbf96fa7f0c2034689765531be41be4d14000cc38683e9de4393b1df8fa07&amp;host=68042c943591013ac2b2430a89b270f6af2c76d8dfd086a07176afe7c76c2c61&amp;pii=S1750583621001195&amp;tid=spdf-1029efa7-dce7-4125-b680-8548b3222283&amp;sid=2f6609e4393d39471959c3b6a9f1d586ca13gxrqb&amp;type=client" TargetMode="External"/><Relationship Id="rId99" Type="http://schemas.openxmlformats.org/officeDocument/2006/relationships/hyperlink" Target="https://www.renewables.ninja/" TargetMode="External"/><Relationship Id="rId101" Type="http://schemas.openxmlformats.org/officeDocument/2006/relationships/hyperlink" Target="https://www.renewables.ninja/" TargetMode="External"/><Relationship Id="rId122"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17" Type="http://schemas.openxmlformats.org/officeDocument/2006/relationships/hyperlink" Target="https://www.uniper.energy/energy-storage-uniper/gas-storage-technology" TargetMode="External"/><Relationship Id="rId21" Type="http://schemas.openxmlformats.org/officeDocument/2006/relationships/hyperlink" Target="https://www.nrel.gov/docs/fy99osti/25106.pdf" TargetMode="External"/><Relationship Id="rId42" Type="http://schemas.openxmlformats.org/officeDocument/2006/relationships/hyperlink" Target="https://www.sciencedirect.com/science/article/pii/B9780128194249000069" TargetMode="External"/><Relationship Id="rId63" Type="http://schemas.openxmlformats.org/officeDocument/2006/relationships/hyperlink" Target="https://www.nrel.gov/docs/fy99osti/25106.pdf" TargetMode="External"/><Relationship Id="rId84" Type="http://schemas.openxmlformats.org/officeDocument/2006/relationships/hyperlink" Target="https://www.sciencedirect.com/science/article/pii/S0360319917326824?via%3Dihub" TargetMode="External"/><Relationship Id="rId138" Type="http://schemas.openxmlformats.org/officeDocument/2006/relationships/hyperlink" Target="https://www.sciencedirect.com/science/article/pii/S0360319920315858" TargetMode="External"/><Relationship Id="rId159" Type="http://schemas.openxmlformats.org/officeDocument/2006/relationships/hyperlink" Target="https://www.sciencedirect.com/science/article/pii/S0360319917326824?via%3Dihub" TargetMode="External"/><Relationship Id="rId170" Type="http://schemas.openxmlformats.org/officeDocument/2006/relationships/hyperlink" Target="https://op.europa.eu/en/publication-detail/-/publication/7e4afa7d-d077-11ea-adf7-01aa75ed71a1/language-en" TargetMode="External"/><Relationship Id="rId107" Type="http://schemas.openxmlformats.org/officeDocument/2006/relationships/hyperlink" Target="https://www.energy.gov/eere/fuelcells/doe-technical-targets-hydrogen-delivery" TargetMode="External"/><Relationship Id="rId11" Type="http://schemas.openxmlformats.org/officeDocument/2006/relationships/hyperlink" Target="https://iea.blob.core.windows.net/assets/29b027e5-fefc-47df-aed0-456b1bb38844/IEA-The-Future-of-Hydrogen-Assumptions-Annex_CORR.pdf" TargetMode="External"/><Relationship Id="rId32"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53" Type="http://schemas.openxmlformats.org/officeDocument/2006/relationships/hyperlink" Target="https://www.nrel.gov/docs/fy99osti/25106.pdf" TargetMode="External"/><Relationship Id="rId74"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128" Type="http://schemas.openxmlformats.org/officeDocument/2006/relationships/hyperlink" Target="https://www.researchgate.net/publication/255636014_HYDROGEN_STORAGE_STATE-OF-THE-ART_AND_FUTURE_PERSPECTIVE" TargetMode="External"/><Relationship Id="rId149" Type="http://schemas.openxmlformats.org/officeDocument/2006/relationships/hyperlink" Target="https://hystories.eu/publications-hystories/" TargetMode="External"/><Relationship Id="rId5" Type="http://schemas.openxmlformats.org/officeDocument/2006/relationships/hyperlink" Target="https://iea.blob.core.windows.net/assets/29b027e5-fefc-47df-aed0-456b1bb38844/IEA-The-Future-of-Hydrogen-Assumptions-Annex_CORR.pdf" TargetMode="External"/><Relationship Id="rId95" Type="http://schemas.openxmlformats.org/officeDocument/2006/relationships/hyperlink" Target="http://hyunder.eu/wp-content/uploads/2016/01/D3.1_Overview-of-all-known-underground-storage-technologies.pdf" TargetMode="External"/><Relationship Id="rId160" Type="http://schemas.openxmlformats.org/officeDocument/2006/relationships/hyperlink" Target="http://hyunder.eu/wp-content/uploads/2016/01/D3.1_Overview-of-all-known-underground-storage-technologies.pdf" TargetMode="External"/><Relationship Id="rId181" Type="http://schemas.openxmlformats.org/officeDocument/2006/relationships/table" Target="../tables/table7.xml"/><Relationship Id="rId22" Type="http://schemas.openxmlformats.org/officeDocument/2006/relationships/hyperlink" Target="https://www.nrel.gov/docs/fy99osti/25106.pdf" TargetMode="External"/><Relationship Id="rId43" Type="http://schemas.openxmlformats.org/officeDocument/2006/relationships/hyperlink" Target="https://www.sciencedirect.com/science/article/pii/B9780128194249000069" TargetMode="External"/><Relationship Id="rId64" Type="http://schemas.openxmlformats.org/officeDocument/2006/relationships/hyperlink" Target="https://www.nrel.gov/docs/fy99osti/25106.pdf" TargetMode="External"/><Relationship Id="rId118" Type="http://schemas.openxmlformats.org/officeDocument/2006/relationships/hyperlink" Target="https://www.uniper.energy/energy-storage-uniper/gas-storage-technology" TargetMode="External"/><Relationship Id="rId139" Type="http://schemas.openxmlformats.org/officeDocument/2006/relationships/hyperlink" Target="https://www.sciencedirect.com/science/article/pii/S0360319920315858" TargetMode="External"/><Relationship Id="rId85" Type="http://schemas.openxmlformats.org/officeDocument/2006/relationships/hyperlink" Target="https://www.sciencedirect.com/science/article/pii/S0360319917326824?via%3Dihub" TargetMode="External"/><Relationship Id="rId150" Type="http://schemas.openxmlformats.org/officeDocument/2006/relationships/hyperlink" Target="https://hystories.eu/publications-hystories/" TargetMode="External"/><Relationship Id="rId171" Type="http://schemas.openxmlformats.org/officeDocument/2006/relationships/hyperlink" Target="https://op.europa.eu/en/publication-detail/-/publication/7e4afa7d-d077-11ea-adf7-01aa75ed71a1/language-en" TargetMode="External"/><Relationship Id="rId12" Type="http://schemas.openxmlformats.org/officeDocument/2006/relationships/hyperlink" Target="https://iea.blob.core.windows.net/assets/29b027e5-fefc-47df-aed0-456b1bb38844/IEA-The-Future-of-Hydrogen-Assumptions-Annex_CORR.pdf" TargetMode="External"/><Relationship Id="rId33"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108" Type="http://schemas.openxmlformats.org/officeDocument/2006/relationships/hyperlink" Target="https://www.energy.gov/eere/fuelcells/doe-technical-targets-hydrogen-delivery" TargetMode="External"/><Relationship Id="rId129" Type="http://schemas.openxmlformats.org/officeDocument/2006/relationships/hyperlink" Target="https://www.researchgate.net/publication/255636014_HYDROGEN_STORAGE_STATE-OF-THE-ART_AND_FUTURE_PERSPECTIVE" TargetMode="External"/><Relationship Id="rId54" Type="http://schemas.openxmlformats.org/officeDocument/2006/relationships/hyperlink" Target="https://www.nrel.gov/docs/fy99osti/25106.pdf" TargetMode="External"/><Relationship Id="rId75"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96" Type="http://schemas.openxmlformats.org/officeDocument/2006/relationships/hyperlink" Target="https://www.gie.eu/wp-content/uploads/filr/3517/Picturing%20the%20value%20of%20gas%20storage%20to%20the%20European%20hydrogen%20system_FINAL_140621.pdf" TargetMode="External"/><Relationship Id="rId140" Type="http://schemas.openxmlformats.org/officeDocument/2006/relationships/hyperlink" Target="https://www.energy.gov/sites/default/files/2021-04/h2iq-03242021_2.pdf" TargetMode="External"/><Relationship Id="rId161" Type="http://schemas.openxmlformats.org/officeDocument/2006/relationships/hyperlink" Target="http://hyunder.eu/wp-content/uploads/2016/01/D3.1_Overview-of-all-known-underground-storage-technologies.pdf" TargetMode="External"/><Relationship Id="rId182" Type="http://schemas.openxmlformats.org/officeDocument/2006/relationships/table" Target="../tables/table8.xml"/><Relationship Id="rId6" Type="http://schemas.openxmlformats.org/officeDocument/2006/relationships/hyperlink" Target="https://iea.blob.core.windows.net/assets/29b027e5-fefc-47df-aed0-456b1bb38844/IEA-The-Future-of-Hydrogen-Assumptions-Annex_CORR.pdf" TargetMode="External"/><Relationship Id="rId23" Type="http://schemas.openxmlformats.org/officeDocument/2006/relationships/hyperlink" Target="https://www.nrel.gov/docs/fy99osti/25106.pdf" TargetMode="External"/><Relationship Id="rId119" Type="http://schemas.openxmlformats.org/officeDocument/2006/relationships/hyperlink" Target="https://www.uniper.energy/energy-storage-uniper/gas-storage-technology" TargetMode="External"/><Relationship Id="rId44" Type="http://schemas.openxmlformats.org/officeDocument/2006/relationships/hyperlink" Target="https://www.gie.eu/wp-content/uploads/filr/3517/Picturing%20the%20value%20of%20gas%20storage%20to%20the%20European%20hydrogen%20system_FINAL_140621.pdf" TargetMode="External"/><Relationship Id="rId65" Type="http://schemas.openxmlformats.org/officeDocument/2006/relationships/hyperlink" Target="https://www.energy.gov/eere/fuelcells/doe-technical-targets-hydrogen-delivery" TargetMode="External"/><Relationship Id="rId86" Type="http://schemas.openxmlformats.org/officeDocument/2006/relationships/hyperlink" Target="https://www.sciencedirect.com/science/article/pii/S2352484721014414" TargetMode="External"/><Relationship Id="rId130" Type="http://schemas.openxmlformats.org/officeDocument/2006/relationships/hyperlink" Target="https://www.researchgate.net/publication/255636014_HYDROGEN_STORAGE_STATE-OF-THE-ART_AND_FUTURE_PERSPECTIVE" TargetMode="External"/><Relationship Id="rId151" Type="http://schemas.openxmlformats.org/officeDocument/2006/relationships/hyperlink" Target="https://op.europa.eu/en/publication-detail/-/publication/7e4afa7d-d077-11ea-adf7-01aa75ed71a1/language-en" TargetMode="External"/><Relationship Id="rId172" Type="http://schemas.openxmlformats.org/officeDocument/2006/relationships/hyperlink" Target="https://op.europa.eu/en/publication-detail/-/publication/7e4afa7d-d077-11ea-adf7-01aa75ed71a1/language-en" TargetMode="External"/><Relationship Id="rId13" Type="http://schemas.openxmlformats.org/officeDocument/2006/relationships/hyperlink" Target="https://iea.blob.core.windows.net/assets/29b027e5-fefc-47df-aed0-456b1bb38844/IEA-The-Future-of-Hydrogen-Assumptions-Annex_CORR.pdf" TargetMode="External"/><Relationship Id="rId18" Type="http://schemas.openxmlformats.org/officeDocument/2006/relationships/hyperlink" Target="https://iea.blob.core.windows.net/assets/29b027e5-fefc-47df-aed0-456b1bb38844/IEA-The-Future-of-Hydrogen-Assumptions-Annex_CORR.pdf" TargetMode="External"/><Relationship Id="rId39" Type="http://schemas.openxmlformats.org/officeDocument/2006/relationships/hyperlink" Target="https://www.gie.eu/wp-content/uploads/filr/3517/Picturing%20the%20value%20of%20gas%20storage%20to%20the%20European%20hydrogen%20system_FINAL_140621.pdf" TargetMode="External"/><Relationship Id="rId109" Type="http://schemas.openxmlformats.org/officeDocument/2006/relationships/hyperlink" Target="https://www.energy.gov/eere/fuelcells/doe-technical-targets-hydrogen-delivery" TargetMode="External"/><Relationship Id="rId34"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50" Type="http://schemas.openxmlformats.org/officeDocument/2006/relationships/hyperlink" Target="https://www.gie.eu/wp-content/uploads/filr/3517/Picturing%20the%20value%20of%20gas%20storage%20to%20the%20European%20hydrogen%20system_FINAL_140621.pdf" TargetMode="External"/><Relationship Id="rId55" Type="http://schemas.openxmlformats.org/officeDocument/2006/relationships/hyperlink" Target="https://www.nrel.gov/docs/fy99osti/25106.pdf" TargetMode="External"/><Relationship Id="rId76"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97" Type="http://schemas.openxmlformats.org/officeDocument/2006/relationships/hyperlink" Target="https://www.gie.eu/wp-content/uploads/filr/3517/Picturing%20the%20value%20of%20gas%20storage%20to%20the%20European%20hydrogen%20system_FINAL_140621.pdf" TargetMode="External"/><Relationship Id="rId104" Type="http://schemas.openxmlformats.org/officeDocument/2006/relationships/hyperlink" Target="http://hyunder.eu/wp-content/uploads/2016/01/D3.1_Overview-of-all-known-underground-storage-technologies.pdf" TargetMode="External"/><Relationship Id="rId120" Type="http://schemas.openxmlformats.org/officeDocument/2006/relationships/hyperlink" Target="https://www.uniper.energy/energy-storage-uniper/gas-storage-technology" TargetMode="External"/><Relationship Id="rId125" Type="http://schemas.openxmlformats.org/officeDocument/2006/relationships/hyperlink" Target="https://www.uniper.energy/energy-storage-uniper/gas-storage-technology" TargetMode="External"/><Relationship Id="rId141" Type="http://schemas.openxmlformats.org/officeDocument/2006/relationships/hyperlink" Target="https://www.energy.gov/sites/default/files/2021-04/h2iq-03242021_2.pdf" TargetMode="External"/><Relationship Id="rId146" Type="http://schemas.openxmlformats.org/officeDocument/2006/relationships/hyperlink" Target="https://hystories.eu/publications-hystories/" TargetMode="External"/><Relationship Id="rId167" Type="http://schemas.openxmlformats.org/officeDocument/2006/relationships/hyperlink" Target="http://hyunder.eu/wp-content/uploads/2016/01/D3.1_Overview-of-all-known-underground-storage-technologies.pdf" TargetMode="External"/><Relationship Id="rId7" Type="http://schemas.openxmlformats.org/officeDocument/2006/relationships/hyperlink" Target="https://iea.blob.core.windows.net/assets/29b027e5-fefc-47df-aed0-456b1bb38844/IEA-The-Future-of-Hydrogen-Assumptions-Annex_CORR.pdf" TargetMode="External"/><Relationship Id="rId71"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92" Type="http://schemas.openxmlformats.org/officeDocument/2006/relationships/hyperlink" Target="http://hyunder.eu/wp-content/uploads/2016/01/D3.1_Overview-of-all-known-underground-storage-technologies.pdf" TargetMode="External"/><Relationship Id="rId162" Type="http://schemas.openxmlformats.org/officeDocument/2006/relationships/hyperlink" Target="http://hyunder.eu/wp-content/uploads/2016/01/D3.1_Overview-of-all-known-underground-storage-technologies.pdf" TargetMode="External"/><Relationship Id="rId183" Type="http://schemas.openxmlformats.org/officeDocument/2006/relationships/table" Target="../tables/table9.xml"/><Relationship Id="rId2" Type="http://schemas.openxmlformats.org/officeDocument/2006/relationships/hyperlink" Target="https://iea.blob.core.windows.net/assets/29b027e5-fefc-47df-aed0-456b1bb38844/IEA-The-Future-of-Hydrogen-Assumptions-Annex_CORR.pdf" TargetMode="External"/><Relationship Id="rId29" Type="http://schemas.openxmlformats.org/officeDocument/2006/relationships/hyperlink" Target="https://hystories.eu/publications-hystories/" TargetMode="External"/><Relationship Id="rId24" Type="http://schemas.openxmlformats.org/officeDocument/2006/relationships/hyperlink" Target="https://www.nrel.gov/docs/fy99osti/25106.pdf" TargetMode="External"/><Relationship Id="rId40" Type="http://schemas.openxmlformats.org/officeDocument/2006/relationships/hyperlink" Target="https://www.gie.eu/wp-content/uploads/filr/3517/Picturing%20the%20value%20of%20gas%20storage%20to%20the%20European%20hydrogen%20system_FINAL_140621.pdf" TargetMode="External"/><Relationship Id="rId45" Type="http://schemas.openxmlformats.org/officeDocument/2006/relationships/hyperlink" Target="https://www.gie.eu/wp-content/uploads/filr/3517/Picturing%20the%20value%20of%20gas%20storage%20to%20the%20European%20hydrogen%20system_FINAL_140621.pdf" TargetMode="External"/><Relationship Id="rId66" Type="http://schemas.openxmlformats.org/officeDocument/2006/relationships/hyperlink" Target="https://www.energy.gov/eere/fuelcells/doe-technical-targets-hydrogen-delivery" TargetMode="External"/><Relationship Id="rId87" Type="http://schemas.openxmlformats.org/officeDocument/2006/relationships/hyperlink" Target="https://www.sciencedirect.com/science/article/pii/S2352484721014414" TargetMode="External"/><Relationship Id="rId110" Type="http://schemas.openxmlformats.org/officeDocument/2006/relationships/hyperlink" Target="https://www.energy.gov/eere/fuelcells/doe-technical-targets-hydrogen-delivery" TargetMode="External"/><Relationship Id="rId115" Type="http://schemas.openxmlformats.org/officeDocument/2006/relationships/hyperlink" Target="https://www.uniper.energy/energy-storage-uniper/gas-storage-technology" TargetMode="External"/><Relationship Id="rId131" Type="http://schemas.openxmlformats.org/officeDocument/2006/relationships/hyperlink" Target="https://www.storengy.de/sites/default/files/mediateque/pdf/2021-11/HyPSTER%20EN.pdf" TargetMode="External"/><Relationship Id="rId136"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57" Type="http://schemas.openxmlformats.org/officeDocument/2006/relationships/hyperlink" Target="https://www.nrel.gov/docs/fy99osti/25106.pdf" TargetMode="External"/><Relationship Id="rId178" Type="http://schemas.openxmlformats.org/officeDocument/2006/relationships/hyperlink" Target="https://hystories.eu/publications-hystories/" TargetMode="External"/><Relationship Id="rId61" Type="http://schemas.openxmlformats.org/officeDocument/2006/relationships/hyperlink" Target="https://www.nrel.gov/docs/fy99osti/25106.pdf" TargetMode="External"/><Relationship Id="rId82" Type="http://schemas.openxmlformats.org/officeDocument/2006/relationships/hyperlink" Target="https://www.sciencedirect.com/science/article/pii/S0360319917326824?via%3Dihub" TargetMode="External"/><Relationship Id="rId152" Type="http://schemas.openxmlformats.org/officeDocument/2006/relationships/hyperlink" Target="https://op.europa.eu/en/publication-detail/-/publication/7e4afa7d-d077-11ea-adf7-01aa75ed71a1/language-en" TargetMode="External"/><Relationship Id="rId173" Type="http://schemas.openxmlformats.org/officeDocument/2006/relationships/hyperlink" Target="https://op.europa.eu/en/publication-detail/-/publication/7e4afa7d-d077-11ea-adf7-01aa75ed71a1/language-en" TargetMode="External"/><Relationship Id="rId19" Type="http://schemas.openxmlformats.org/officeDocument/2006/relationships/hyperlink" Target="https://www.nrel.gov/docs/fy99osti/25106.pdf" TargetMode="External"/><Relationship Id="rId14" Type="http://schemas.openxmlformats.org/officeDocument/2006/relationships/hyperlink" Target="https://iea.blob.core.windows.net/assets/29b027e5-fefc-47df-aed0-456b1bb38844/IEA-The-Future-of-Hydrogen-Assumptions-Annex_CORR.pdf" TargetMode="External"/><Relationship Id="rId30" Type="http://schemas.openxmlformats.org/officeDocument/2006/relationships/hyperlink" Target="https://hystories.eu/publications-hystories/" TargetMode="External"/><Relationship Id="rId35" Type="http://schemas.openxmlformats.org/officeDocument/2006/relationships/hyperlink" Target="https://www.sciencedirect.com/science/article/pii/S0360319917326824?via%3Dihub" TargetMode="External"/><Relationship Id="rId56" Type="http://schemas.openxmlformats.org/officeDocument/2006/relationships/hyperlink" Target="https://www.nrel.gov/docs/fy99osti/25106.pdf" TargetMode="External"/><Relationship Id="rId77"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100" Type="http://schemas.openxmlformats.org/officeDocument/2006/relationships/hyperlink" Target="https://www.gie.eu/wp-content/uploads/filr/3517/Picturing%20the%20value%20of%20gas%20storage%20to%20the%20European%20hydrogen%20system_FINAL_140621.pdf" TargetMode="External"/><Relationship Id="rId105" Type="http://schemas.openxmlformats.org/officeDocument/2006/relationships/hyperlink" Target="http://hyunder.eu/wp-content/uploads/2016/01/D3.1_Overview-of-all-known-underground-storage-technologies.pdf" TargetMode="External"/><Relationship Id="rId126" Type="http://schemas.openxmlformats.org/officeDocument/2006/relationships/hyperlink" Target="https://www.uniper.energy/energy-storage-uniper/gas-storage-technology" TargetMode="External"/><Relationship Id="rId147" Type="http://schemas.openxmlformats.org/officeDocument/2006/relationships/hyperlink" Target="https://hystories.eu/publications-hystories/" TargetMode="External"/><Relationship Id="rId168" Type="http://schemas.openxmlformats.org/officeDocument/2006/relationships/hyperlink" Target="http://hyunder.eu/wp-content/uploads/2016/01/D3.1_Overview-of-all-known-underground-storage-technologies.pdf" TargetMode="External"/><Relationship Id="rId8" Type="http://schemas.openxmlformats.org/officeDocument/2006/relationships/hyperlink" Target="https://iea.blob.core.windows.net/assets/29b027e5-fefc-47df-aed0-456b1bb38844/IEA-The-Future-of-Hydrogen-Assumptions-Annex_CORR.pdf" TargetMode="External"/><Relationship Id="rId51" Type="http://schemas.openxmlformats.org/officeDocument/2006/relationships/hyperlink" Target="https://www.gie.eu/wp-content/uploads/filr/3517/Picturing%20the%20value%20of%20gas%20storage%20to%20the%20European%20hydrogen%20system_FINAL_140621.pdf" TargetMode="External"/><Relationship Id="rId72"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93" Type="http://schemas.openxmlformats.org/officeDocument/2006/relationships/hyperlink" Target="http://hyunder.eu/wp-content/uploads/2016/01/D3.1_Overview-of-all-known-underground-storage-technologies.pdf" TargetMode="External"/><Relationship Id="rId98" Type="http://schemas.openxmlformats.org/officeDocument/2006/relationships/hyperlink" Target="https://www.gie.eu/wp-content/uploads/filr/3517/Picturing%20the%20value%20of%20gas%20storage%20to%20the%20European%20hydrogen%20system_FINAL_140621.pdf" TargetMode="External"/><Relationship Id="rId121" Type="http://schemas.openxmlformats.org/officeDocument/2006/relationships/hyperlink" Target="https://www.uniper.energy/energy-storage-uniper/gas-storage-technology" TargetMode="External"/><Relationship Id="rId142" Type="http://schemas.openxmlformats.org/officeDocument/2006/relationships/hyperlink" Target="https://www.energy.gov/sites/default/files/2021-04/h2iq-03242021_2.pdf" TargetMode="External"/><Relationship Id="rId163" Type="http://schemas.openxmlformats.org/officeDocument/2006/relationships/hyperlink" Target="https://www.nrel.gov/docs/fy99osti/25106.pdf" TargetMode="External"/><Relationship Id="rId184" Type="http://schemas.openxmlformats.org/officeDocument/2006/relationships/comments" Target="../comments7.xml"/><Relationship Id="rId3" Type="http://schemas.openxmlformats.org/officeDocument/2006/relationships/hyperlink" Target="https://iea.blob.core.windows.net/assets/29b027e5-fefc-47df-aed0-456b1bb38844/IEA-The-Future-of-Hydrogen-Assumptions-Annex_CORR.pdf" TargetMode="External"/><Relationship Id="rId25" Type="http://schemas.openxmlformats.org/officeDocument/2006/relationships/hyperlink" Target="https://www.nrel.gov/docs/fy99osti/25106.pdf" TargetMode="External"/><Relationship Id="rId46" Type="http://schemas.openxmlformats.org/officeDocument/2006/relationships/hyperlink" Target="https://www.gie.eu/wp-content/uploads/filr/3517/Picturing%20the%20value%20of%20gas%20storage%20to%20the%20European%20hydrogen%20system_FINAL_140621.pdf" TargetMode="External"/><Relationship Id="rId67" Type="http://schemas.openxmlformats.org/officeDocument/2006/relationships/hyperlink" Target="https://www.energy.gov/eere/fuelcells/doe-technical-targets-hydrogen-delivery" TargetMode="External"/><Relationship Id="rId116" Type="http://schemas.openxmlformats.org/officeDocument/2006/relationships/hyperlink" Target="https://www.uniper.energy/energy-storage-uniper/gas-storage-technology" TargetMode="External"/><Relationship Id="rId137"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58"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20" Type="http://schemas.openxmlformats.org/officeDocument/2006/relationships/hyperlink" Target="https://www.nrel.gov/docs/fy99osti/25106.pdf" TargetMode="External"/><Relationship Id="rId41" Type="http://schemas.openxmlformats.org/officeDocument/2006/relationships/hyperlink" Target="https://www.sciencedirect.com/science/article/pii/B9780128194249000069" TargetMode="External"/><Relationship Id="rId62" Type="http://schemas.openxmlformats.org/officeDocument/2006/relationships/hyperlink" Target="https://www.nrel.gov/docs/fy99osti/25106.pdf" TargetMode="External"/><Relationship Id="rId83" Type="http://schemas.openxmlformats.org/officeDocument/2006/relationships/hyperlink" Target="https://www.sciencedirect.com/science/article/pii/S0360319917326824?via%3Dihub" TargetMode="External"/><Relationship Id="rId88" Type="http://schemas.openxmlformats.org/officeDocument/2006/relationships/hyperlink" Target="https://www.sciencedirect.com/science/article/pii/S2352484721014414" TargetMode="External"/><Relationship Id="rId111" Type="http://schemas.openxmlformats.org/officeDocument/2006/relationships/hyperlink" Target="https://www.energy.gov/eere/fuelcells/doe-technical-targets-hydrogen-delivery" TargetMode="External"/><Relationship Id="rId132" Type="http://schemas.openxmlformats.org/officeDocument/2006/relationships/hyperlink" Target="https://www.storengy.de/sites/default/files/mediateque/pdf/2021-11/HyPSTER%20EN.pdf" TargetMode="External"/><Relationship Id="rId153" Type="http://schemas.openxmlformats.org/officeDocument/2006/relationships/hyperlink" Target="https://op.europa.eu/en/publication-detail/-/publication/7e4afa7d-d077-11ea-adf7-01aa75ed71a1/language-en" TargetMode="External"/><Relationship Id="rId174" Type="http://schemas.openxmlformats.org/officeDocument/2006/relationships/hyperlink" Target="https://op.europa.eu/en/publication-detail/-/publication/7e4afa7d-d077-11ea-adf7-01aa75ed71a1/language-en" TargetMode="External"/><Relationship Id="rId179" Type="http://schemas.openxmlformats.org/officeDocument/2006/relationships/printerSettings" Target="../printerSettings/printerSettings12.bin"/><Relationship Id="rId15" Type="http://schemas.openxmlformats.org/officeDocument/2006/relationships/hyperlink" Target="https://iea.blob.core.windows.net/assets/29b027e5-fefc-47df-aed0-456b1bb38844/IEA-The-Future-of-Hydrogen-Assumptions-Annex_CORR.pdf" TargetMode="External"/><Relationship Id="rId36" Type="http://schemas.openxmlformats.org/officeDocument/2006/relationships/hyperlink" Target="https://www.sciencedirect.com/science/article/pii/S0360319917326824?via%3Dihub" TargetMode="External"/><Relationship Id="rId57" Type="http://schemas.openxmlformats.org/officeDocument/2006/relationships/hyperlink" Target="https://www.nrel.gov/docs/fy99osti/25106.pdf" TargetMode="External"/><Relationship Id="rId106" Type="http://schemas.openxmlformats.org/officeDocument/2006/relationships/hyperlink" Target="https://www.energy.gov/eere/fuelcells/doe-technical-targets-hydrogen-delivery" TargetMode="External"/><Relationship Id="rId127" Type="http://schemas.openxmlformats.org/officeDocument/2006/relationships/hyperlink" Target="https://www.researchgate.net/publication/255636014_HYDROGEN_STORAGE_STATE-OF-THE-ART_AND_FUTURE_PERSPECTIVE" TargetMode="External"/><Relationship Id="rId10" Type="http://schemas.openxmlformats.org/officeDocument/2006/relationships/hyperlink" Target="https://iea.blob.core.windows.net/assets/29b027e5-fefc-47df-aed0-456b1bb38844/IEA-The-Future-of-Hydrogen-Assumptions-Annex_CORR.pdf" TargetMode="External"/><Relationship Id="rId31" Type="http://schemas.openxmlformats.org/officeDocument/2006/relationships/hyperlink" Target="https://hystories.eu/publications-hystories/" TargetMode="External"/><Relationship Id="rId52" Type="http://schemas.openxmlformats.org/officeDocument/2006/relationships/hyperlink" Target="https://www.gie.eu/wp-content/uploads/filr/3517/Picturing%20the%20value%20of%20gas%20storage%20to%20the%20European%20hydrogen%20system_FINAL_140621.pdf" TargetMode="External"/><Relationship Id="rId73"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78"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94" Type="http://schemas.openxmlformats.org/officeDocument/2006/relationships/hyperlink" Target="http://hyunder.eu/wp-content/uploads/2016/01/D3.1_Overview-of-all-known-underground-storage-technologies.pdf" TargetMode="External"/><Relationship Id="rId99" Type="http://schemas.openxmlformats.org/officeDocument/2006/relationships/hyperlink" Target="https://www.gie.eu/wp-content/uploads/filr/3517/Picturing%20the%20value%20of%20gas%20storage%20to%20the%20European%20hydrogen%20system_FINAL_140621.pdf" TargetMode="External"/><Relationship Id="rId101" Type="http://schemas.openxmlformats.org/officeDocument/2006/relationships/hyperlink" Target="https://www.gie.eu/wp-content/uploads/filr/3517/Picturing%20the%20value%20of%20gas%20storage%20to%20the%20European%20hydrogen%20system_FINAL_140621.pdf" TargetMode="External"/><Relationship Id="rId122" Type="http://schemas.openxmlformats.org/officeDocument/2006/relationships/hyperlink" Target="https://www.uniper.energy/energy-storage-uniper/gas-storage-technology" TargetMode="External"/><Relationship Id="rId143" Type="http://schemas.openxmlformats.org/officeDocument/2006/relationships/hyperlink" Target="https://www.nrel.gov/docs/fy99osti/25106.pdf" TargetMode="External"/><Relationship Id="rId148" Type="http://schemas.openxmlformats.org/officeDocument/2006/relationships/hyperlink" Target="https://hystories.eu/publications-hystories/" TargetMode="External"/><Relationship Id="rId164"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169" Type="http://schemas.openxmlformats.org/officeDocument/2006/relationships/hyperlink" Target="https://op.europa.eu/en/publication-detail/-/publication/7e4afa7d-d077-11ea-adf7-01aa75ed71a1/language-en" TargetMode="External"/><Relationship Id="rId185" Type="http://schemas.microsoft.com/office/2017/10/relationships/threadedComment" Target="../threadedComments/threadedComment1.xml"/><Relationship Id="rId4" Type="http://schemas.openxmlformats.org/officeDocument/2006/relationships/hyperlink" Target="https://iea.blob.core.windows.net/assets/29b027e5-fefc-47df-aed0-456b1bb38844/IEA-The-Future-of-Hydrogen-Assumptions-Annex_CORR.pdf" TargetMode="External"/><Relationship Id="rId9" Type="http://schemas.openxmlformats.org/officeDocument/2006/relationships/hyperlink" Target="https://iea.blob.core.windows.net/assets/29b027e5-fefc-47df-aed0-456b1bb38844/IEA-The-Future-of-Hydrogen-Assumptions-Annex_CORR.pdf" TargetMode="External"/><Relationship Id="rId180" Type="http://schemas.openxmlformats.org/officeDocument/2006/relationships/vmlDrawing" Target="../drawings/vmlDrawing7.vml"/><Relationship Id="rId26" Type="http://schemas.openxmlformats.org/officeDocument/2006/relationships/hyperlink" Target="https://www.nrel.gov/docs/fy99osti/25106.pdf" TargetMode="External"/><Relationship Id="rId47" Type="http://schemas.openxmlformats.org/officeDocument/2006/relationships/hyperlink" Target="https://www.gie.eu/wp-content/uploads/filr/3517/Picturing%20the%20value%20of%20gas%20storage%20to%20the%20European%20hydrogen%20system_FINAL_140621.pdf" TargetMode="External"/><Relationship Id="rId68"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89" Type="http://schemas.openxmlformats.org/officeDocument/2006/relationships/hyperlink" Target="http://hyunder.eu/wp-content/uploads/2016/01/D3.1_Overview-of-all-known-underground-storage-technologies.pdf" TargetMode="External"/><Relationship Id="rId112" Type="http://schemas.openxmlformats.org/officeDocument/2006/relationships/hyperlink" Target="https://www.energy.gov/eere/fuelcells/doe-technical-targets-hydrogen-delivery" TargetMode="External"/><Relationship Id="rId133" Type="http://schemas.openxmlformats.org/officeDocument/2006/relationships/hyperlink" Target="https://www.storengy.de/sites/default/files/mediateque/pdf/2021-11/HyPSTER%20EN.pdf" TargetMode="External"/><Relationship Id="rId154" Type="http://schemas.openxmlformats.org/officeDocument/2006/relationships/hyperlink" Target="https://op.europa.eu/en/publication-detail/-/publication/7e4afa7d-d077-11ea-adf7-01aa75ed71a1/language-en" TargetMode="External"/><Relationship Id="rId175" Type="http://schemas.openxmlformats.org/officeDocument/2006/relationships/hyperlink" Target="https://www.sciencedirect.com/science/article/pii/S0306261917305457" TargetMode="External"/><Relationship Id="rId16" Type="http://schemas.openxmlformats.org/officeDocument/2006/relationships/hyperlink" Target="https://iea.blob.core.windows.net/assets/29b027e5-fefc-47df-aed0-456b1bb38844/IEA-The-Future-of-Hydrogen-Assumptions-Annex_CORR.pdf" TargetMode="External"/><Relationship Id="rId37" Type="http://schemas.openxmlformats.org/officeDocument/2006/relationships/hyperlink" Target="https://www.sciencedirect.com/science/article/pii/S0360319917326824?via%3Dihub" TargetMode="External"/><Relationship Id="rId58" Type="http://schemas.openxmlformats.org/officeDocument/2006/relationships/hyperlink" Target="https://www.nrel.gov/docs/fy99osti/25106.pdf" TargetMode="External"/><Relationship Id="rId79" Type="http://schemas.openxmlformats.org/officeDocument/2006/relationships/hyperlink" Target="https://www.sciencedirect.com/science/article/pii/S0360319917326824?via%3Dihub" TargetMode="External"/><Relationship Id="rId102" Type="http://schemas.openxmlformats.org/officeDocument/2006/relationships/hyperlink" Target="https://www.energy.gov/eere/fuelcells/doe-technical-targets-hydrogen-delivery" TargetMode="External"/><Relationship Id="rId123" Type="http://schemas.openxmlformats.org/officeDocument/2006/relationships/hyperlink" Target="https://www.uniper.energy/energy-storage-uniper/gas-storage-technology" TargetMode="External"/><Relationship Id="rId144" Type="http://schemas.openxmlformats.org/officeDocument/2006/relationships/hyperlink" Target="https://www.nrel.gov/docs/fy99osti/25106.pdf" TargetMode="External"/><Relationship Id="rId90" Type="http://schemas.openxmlformats.org/officeDocument/2006/relationships/hyperlink" Target="http://hyunder.eu/wp-content/uploads/2016/01/D3.1_Overview-of-all-known-underground-storage-technologies.pdf" TargetMode="External"/><Relationship Id="rId165" Type="http://schemas.openxmlformats.org/officeDocument/2006/relationships/hyperlink" Target="https://www.sciencedirect.com/science/article/pii/S0360319917326824?via%3Dihub" TargetMode="External"/><Relationship Id="rId27" Type="http://schemas.openxmlformats.org/officeDocument/2006/relationships/hyperlink" Target="https://www.nrel.gov/docs/fy99osti/25106.pdf" TargetMode="External"/><Relationship Id="rId48" Type="http://schemas.openxmlformats.org/officeDocument/2006/relationships/hyperlink" Target="https://www.gie.eu/wp-content/uploads/filr/3517/Picturing%20the%20value%20of%20gas%20storage%20to%20the%20European%20hydrogen%20system_FINAL_140621.pdf" TargetMode="External"/><Relationship Id="rId69"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113" Type="http://schemas.openxmlformats.org/officeDocument/2006/relationships/hyperlink" Target="https://iea.blob.core.windows.net/assets/29b027e5-fefc-47df-aed0-456b1bb38844/IEA-The-Future-of-Hydrogen-Assumptions-Annex_CORR.pdf" TargetMode="External"/><Relationship Id="rId134"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80" Type="http://schemas.openxmlformats.org/officeDocument/2006/relationships/hyperlink" Target="https://www.sciencedirect.com/science/article/pii/S0360319917326824?via%3Dihub" TargetMode="External"/><Relationship Id="rId155" Type="http://schemas.openxmlformats.org/officeDocument/2006/relationships/hyperlink" Target="https://op.europa.eu/en/publication-detail/-/publication/7e4afa7d-d077-11ea-adf7-01aa75ed71a1/language-en" TargetMode="External"/><Relationship Id="rId176" Type="http://schemas.openxmlformats.org/officeDocument/2006/relationships/hyperlink" Target="https://hystories.eu/publications-hystories/" TargetMode="External"/><Relationship Id="rId17" Type="http://schemas.openxmlformats.org/officeDocument/2006/relationships/hyperlink" Target="https://iea.blob.core.windows.net/assets/29b027e5-fefc-47df-aed0-456b1bb38844/IEA-The-Future-of-Hydrogen-Assumptions-Annex_CORR.pdf" TargetMode="External"/><Relationship Id="rId38" Type="http://schemas.openxmlformats.org/officeDocument/2006/relationships/hyperlink" Target="https://www.gie.eu/wp-content/uploads/filr/3517/Picturing%20the%20value%20of%20gas%20storage%20to%20the%20European%20hydrogen%20system_FINAL_140621.pdf" TargetMode="External"/><Relationship Id="rId59" Type="http://schemas.openxmlformats.org/officeDocument/2006/relationships/hyperlink" Target="https://www.nrel.gov/docs/fy99osti/25106.pdf" TargetMode="External"/><Relationship Id="rId103" Type="http://schemas.openxmlformats.org/officeDocument/2006/relationships/hyperlink" Target="https://www.energy.gov/eere/fuelcells/doe-technical-targets-hydrogen-delivery" TargetMode="External"/><Relationship Id="rId124" Type="http://schemas.openxmlformats.org/officeDocument/2006/relationships/hyperlink" Target="https://www.uniper.energy/energy-storage-uniper/gas-storage-technology" TargetMode="External"/><Relationship Id="rId70" Type="http://schemas.openxmlformats.org/officeDocument/2006/relationships/hyperlink" Target="https://www.storeandgo.info/fileadmin/downloads/deliverables_2019/20190801-STOREandGO-D8.3-RUG-Report_on_the_costs_involved_with_PtG_technologies_and_their_potentials_across_the_EU.pdf" TargetMode="External"/><Relationship Id="rId91" Type="http://schemas.openxmlformats.org/officeDocument/2006/relationships/hyperlink" Target="http://hyunder.eu/wp-content/uploads/2016/01/D3.1_Overview-of-all-known-underground-storage-technologies.pdf" TargetMode="External"/><Relationship Id="rId145" Type="http://schemas.openxmlformats.org/officeDocument/2006/relationships/hyperlink" Target="https://hystories.eu/publications-hystories/" TargetMode="External"/><Relationship Id="rId166" Type="http://schemas.openxmlformats.org/officeDocument/2006/relationships/hyperlink" Target="http://hyunder.eu/wp-content/uploads/2016/01/D3.1_Overview-of-all-known-underground-storage-technologies.pdf" TargetMode="External"/><Relationship Id="rId1" Type="http://schemas.openxmlformats.org/officeDocument/2006/relationships/hyperlink" Target="https://iea.blob.core.windows.net/assets/29b027e5-fefc-47df-aed0-456b1bb38844/IEA-The-Future-of-Hydrogen-Assumptions-Annex_CORR.pdf" TargetMode="External"/><Relationship Id="rId28" Type="http://schemas.openxmlformats.org/officeDocument/2006/relationships/hyperlink" Target="https://www.nrel.gov/docs/fy99osti/25106.pdf" TargetMode="External"/><Relationship Id="rId49" Type="http://schemas.openxmlformats.org/officeDocument/2006/relationships/hyperlink" Target="https://www.gie.eu/wp-content/uploads/filr/3517/Picturing%20the%20value%20of%20gas%20storage%20to%20the%20European%20hydrogen%20system_FINAL_140621.pdf" TargetMode="External"/><Relationship Id="rId114" Type="http://schemas.openxmlformats.org/officeDocument/2006/relationships/hyperlink" Target="https://iea.blob.core.windows.net/assets/29b027e5-fefc-47df-aed0-456b1bb38844/IEA-The-Future-of-Hydrogen-Assumptions-Annex_CORR.pdf" TargetMode="External"/><Relationship Id="rId60" Type="http://schemas.openxmlformats.org/officeDocument/2006/relationships/hyperlink" Target="https://www.nrel.gov/docs/fy99osti/25106.pdf" TargetMode="External"/><Relationship Id="rId81" Type="http://schemas.openxmlformats.org/officeDocument/2006/relationships/hyperlink" Target="https://www.sciencedirect.com/science/article/pii/S0360319917326824?via%3Dihub" TargetMode="External"/><Relationship Id="rId135"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56" Type="http://schemas.openxmlformats.org/officeDocument/2006/relationships/hyperlink" Target="https://op.europa.eu/en/publication-detail/-/publication/7e4afa7d-d077-11ea-adf7-01aa75ed71a1/language-en" TargetMode="External"/><Relationship Id="rId177" Type="http://schemas.openxmlformats.org/officeDocument/2006/relationships/hyperlink" Target="https://hystories.eu/publications-hystori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3" Type="http://schemas.openxmlformats.org/officeDocument/2006/relationships/hyperlink" Target="https://iea.blob.core.windows.net/assets/9e3a3493-b9a6-4b7d-b499-7ca48e357561/The_Future_of_Hydrogen.pdf" TargetMode="External"/><Relationship Id="rId18" Type="http://schemas.openxmlformats.org/officeDocument/2006/relationships/hyperlink" Target="https://www.dnv.com/publications/hydrogen-inthe-electricity-value-chain-141099" TargetMode="External"/><Relationship Id="rId26" Type="http://schemas.openxmlformats.org/officeDocument/2006/relationships/hyperlink" Target="https://iea.blob.core.windows.net/assets/9e3a3493-b9a6-4b7d-b499-7ca48e357561/The_Future_of_Hydrogen.pdf" TargetMode="External"/><Relationship Id="rId39" Type="http://schemas.openxmlformats.org/officeDocument/2006/relationships/hyperlink" Target="https://iea.blob.core.windows.net/assets/9e3a3493-b9a6-4b7d-b499-7ca48e357561/The_Future_of_Hydrogen.pdf" TargetMode="External"/><Relationship Id="rId21" Type="http://schemas.openxmlformats.org/officeDocument/2006/relationships/hyperlink" Target="https://iea.blob.core.windows.net/assets/9e3a3493-b9a6-4b7d-b499-7ca48e357561/The_Future_of_Hydrogen.pdf" TargetMode="External"/><Relationship Id="rId34" Type="http://schemas.openxmlformats.org/officeDocument/2006/relationships/hyperlink" Target="https://watermark.silverchair.com/zkz033.pdf?token=AQECAHi208BE49Ooan9kkhW_Ercy7Dm3ZL_9Cf3qfKAc485ysgAAAtcwggLTBgkqhkiG9w0BBwagggLEMIICwAIBADCCArkGCSqGSIb3DQEHATAeBglghkgBZQMEAS4wEQQM4MDhTm97eAG9uFSwAgEQgIICiuy6JjWlWXL7iAusZffgBhRBCYBGH8Bt6DfI6W5qh0fjxiX8_Uv4CAN3ajHuNzs4SJpr8oOqn5JaDqv6Fcdd8kUWNLxiW4XXPBOiSDZsGGCNyooVTZVGQXlT96u_UuVYXfZENDuLrl5pi65aK_7onAw0fUb1SHAk7sfWUMclySd66GYm39dhCOTH3JfHQbP21MJwxejyxk8FZ0CqTpcerb08wWWBzrWyKNNNblIa8aw12gAzLxFg3gcLDmPojhfpxIm43jUanHfkhVzHocdCsm_fRNh7n9dsqZW3-549TCMKBh0IYux7D1E8DTlcSuCr3z8JKhxgYiQ2qZmeOvfngIf79KOrIpNRwEwMSpCtUJ-G95W8sx7fyl8xOx5ycUekkkbpAJUCM9Qpaqay75dxz3HchDVhMtsJH1jnTS04aELnWlYE4mempAGiUcfPMSWU7RpoElMskBG4DNtCBVQv7hxnJ6IOrWPEE0Cnl1-Thc61JXxdpxzy6fPQ1rSmyC8ILYku-W40aL-WPa-4j7uOdjwVlG6DxiHF2SSQdHK5whyEJXzDBz01R7X_P6ujG3CjcSJ_iFHI7tRBAaTKNwWrRlAIeRlV3CzGy95xzXcZJHk-VLx-XSoIDZvj90jkfk3FTYcXSoYgg2RRqFzkNO1ejy0rWQmrthSx8D43toMCsGhugo9iXPqgfqtwf_M3XLePzX5ts42vF7hBkFxZEQTZpu9Loy_mvhZIIzj3sTAYu60clmVNkVPzI8NYupx96_gcin6DJMmZpFs85ef9wstEryeNo_WQ9dKFAcD1duL8U4EooFr7puelWZydooDKF66MhGNkgHuRYV7Xdo4H_vSHEIEDf1qEoYAt_26W" TargetMode="External"/><Relationship Id="rId42" Type="http://schemas.openxmlformats.org/officeDocument/2006/relationships/hyperlink" Target="https://transitionaccelerator.ca/techbrief-techno-economics-hydrogenpipelines/" TargetMode="External"/><Relationship Id="rId47" Type="http://schemas.openxmlformats.org/officeDocument/2006/relationships/printerSettings" Target="../printerSettings/printerSettings16.bin"/><Relationship Id="rId50" Type="http://schemas.openxmlformats.org/officeDocument/2006/relationships/table" Target="../tables/table11.xml"/><Relationship Id="rId7" Type="http://schemas.openxmlformats.org/officeDocument/2006/relationships/hyperlink" Target="https://www.startmag.it/wp-content/uploads/European-Hydrogen-Backbone_April-2021_V2.pdf" TargetMode="External"/><Relationship Id="rId2" Type="http://schemas.openxmlformats.org/officeDocument/2006/relationships/hyperlink" Target="https://www.startmag.it/wp-content/uploads/European-Hydrogen-Backbone_April-2021_V2.pdf" TargetMode="External"/><Relationship Id="rId16" Type="http://schemas.openxmlformats.org/officeDocument/2006/relationships/hyperlink" Target="https://www.startmag.it/wp-content/uploads/European-Hydrogen-Backbone_April-2021_V2.pdf" TargetMode="External"/><Relationship Id="rId29" Type="http://schemas.openxmlformats.org/officeDocument/2006/relationships/hyperlink" Target="https://iea.blob.core.windows.net/assets/9e3a3493-b9a6-4b7d-b499-7ca48e357561/The_Future_of_Hydrogen.pdf" TargetMode="External"/><Relationship Id="rId11" Type="http://schemas.openxmlformats.org/officeDocument/2006/relationships/hyperlink" Target="https://www.startmag.it/wp-content/uploads/European-Hydrogen-Backbone_April-2021_V2.pdf" TargetMode="External"/><Relationship Id="rId24" Type="http://schemas.openxmlformats.org/officeDocument/2006/relationships/hyperlink" Target="https://iea.blob.core.windows.net/assets/9e3a3493-b9a6-4b7d-b499-7ca48e357561/The_Future_of_Hydrogen.pdf" TargetMode="External"/><Relationship Id="rId32" Type="http://schemas.openxmlformats.org/officeDocument/2006/relationships/hyperlink" Target="https://www.sciencedirect.com/science/article/pii/S0306261921008667" TargetMode="External"/><Relationship Id="rId37" Type="http://schemas.openxmlformats.org/officeDocument/2006/relationships/hyperlink" Target="https://www.sciencedirect.com/science/article/pii/S0306261921008667" TargetMode="External"/><Relationship Id="rId40" Type="http://schemas.openxmlformats.org/officeDocument/2006/relationships/hyperlink" Target="https://transitionaccelerator.ca/techbrief-techno-economics-hydrogenpipelines/" TargetMode="External"/><Relationship Id="rId45" Type="http://schemas.openxmlformats.org/officeDocument/2006/relationships/hyperlink" Target="https://smartport.nl/wp-content/uploads/2020/09/Cost-Analysis-Power-2-Fuel_def_2020.pdf" TargetMode="External"/><Relationship Id="rId5" Type="http://schemas.openxmlformats.org/officeDocument/2006/relationships/hyperlink" Target="https://www.startmag.it/wp-content/uploads/European-Hydrogen-Backbone_April-2021_V2.pdf" TargetMode="External"/><Relationship Id="rId15" Type="http://schemas.openxmlformats.org/officeDocument/2006/relationships/hyperlink" Target="https://www.startmag.it/wp-content/uploads/European-Hydrogen-Backbone_April-2021_V2.pdf" TargetMode="External"/><Relationship Id="rId23" Type="http://schemas.openxmlformats.org/officeDocument/2006/relationships/hyperlink" Target="https://iea.blob.core.windows.net/assets/9e3a3493-b9a6-4b7d-b499-7ca48e357561/The_Future_of_Hydrogen.pdf" TargetMode="External"/><Relationship Id="rId28" Type="http://schemas.openxmlformats.org/officeDocument/2006/relationships/hyperlink" Target="https://www.sciencedirect.com/science/article/pii/S0306261921008667" TargetMode="External"/><Relationship Id="rId36" Type="http://schemas.openxmlformats.org/officeDocument/2006/relationships/hyperlink" Target="https://watermark.silverchair.com/zkz033.pdf?token=AQECAHi208BE49Ooan9kkhW_Ercy7Dm3ZL_9Cf3qfKAc485ysgAAAtcwggLTBgkqhkiG9w0BBwagggLEMIICwAIBADCCArkGCSqGSIb3DQEHATAeBglghkgBZQMEAS4wEQQM4MDhTm97eAG9uFSwAgEQgIICiuy6JjWlWXL7iAusZffgBhRBCYBGH8Bt6DfI6W5qh0fjxiX8_Uv4CAN3ajHuNzs4SJpr8oOqn5JaDqv6Fcdd8kUWNLxiW4XXPBOiSDZsGGCNyooVTZVGQXlT96u_UuVYXfZENDuLrl5pi65aK_7onAw0fUb1SHAk7sfWUMclySd66GYm39dhCOTH3JfHQbP21MJwxejyxk8FZ0CqTpcerb08wWWBzrWyKNNNblIa8aw12gAzLxFg3gcLDmPojhfpxIm43jUanHfkhVzHocdCsm_fRNh7n9dsqZW3-549TCMKBh0IYux7D1E8DTlcSuCr3z8JKhxgYiQ2qZmeOvfngIf79KOrIpNRwEwMSpCtUJ-G95W8sx7fyl8xOx5ycUekkkbpAJUCM9Qpaqay75dxz3HchDVhMtsJH1jnTS04aELnWlYE4mempAGiUcfPMSWU7RpoElMskBG4DNtCBVQv7hxnJ6IOrWPEE0Cnl1-Thc61JXxdpxzy6fPQ1rSmyC8ILYku-W40aL-WPa-4j7uOdjwVlG6DxiHF2SSQdHK5whyEJXzDBz01R7X_P6ujG3CjcSJ_iFHI7tRBAaTKNwWrRlAIeRlV3CzGy95xzXcZJHk-VLx-XSoIDZvj90jkfk3FTYcXSoYgg2RRqFzkNO1ejy0rWQmrthSx8D43toMCsGhugo9iXPqgfqtwf_M3XLePzX5ts42vF7hBkFxZEQTZpu9Loy_mvhZIIzj3sTAYu60clmVNkVPzI8NYupx96_gcin6DJMmZpFs85ef9wstEryeNo_WQ9dKFAcD1duL8U4EooFr7puelWZydooDKF66MhGNkgHuRYV7Xdo4H_vSHEIEDf1qEoYAt_26W" TargetMode="External"/><Relationship Id="rId49" Type="http://schemas.openxmlformats.org/officeDocument/2006/relationships/table" Target="../tables/table10.xml"/><Relationship Id="rId10" Type="http://schemas.openxmlformats.org/officeDocument/2006/relationships/hyperlink" Target="https://www.startmag.it/wp-content/uploads/European-Hydrogen-Backbone_April-2021_V2.pdf" TargetMode="External"/><Relationship Id="rId19" Type="http://schemas.openxmlformats.org/officeDocument/2006/relationships/hyperlink" Target="https://www.startmag.it/wp-content/uploads/European-Hydrogen-Backbone_April-2021_V2.pdf" TargetMode="External"/><Relationship Id="rId31" Type="http://schemas.openxmlformats.org/officeDocument/2006/relationships/hyperlink" Target="https://iea.blob.core.windows.net/assets/9e3a3493-b9a6-4b7d-b499-7ca48e357561/The_Future_of_Hydrogen.pdf" TargetMode="External"/><Relationship Id="rId44" Type="http://schemas.openxmlformats.org/officeDocument/2006/relationships/hyperlink" Target="https://smartport.nl/wp-content/uploads/2020/09/Cost-Analysis-Power-2-Fuel_def_2020.pdf" TargetMode="External"/><Relationship Id="rId52" Type="http://schemas.openxmlformats.org/officeDocument/2006/relationships/comments" Target="../comments8.xml"/><Relationship Id="rId4" Type="http://schemas.openxmlformats.org/officeDocument/2006/relationships/hyperlink" Target="https://www.startmag.it/wp-content/uploads/European-Hydrogen-Backbone_April-2021_V2.pdf" TargetMode="External"/><Relationship Id="rId9" Type="http://schemas.openxmlformats.org/officeDocument/2006/relationships/hyperlink" Target="https://www.startmag.it/wp-content/uploads/European-Hydrogen-Backbone_April-2021_V2.pdf" TargetMode="External"/><Relationship Id="rId14" Type="http://schemas.openxmlformats.org/officeDocument/2006/relationships/hyperlink" Target="https://www.startmag.it/wp-content/uploads/European-Hydrogen-Backbone_April-2021_V2.pdf" TargetMode="External"/><Relationship Id="rId22" Type="http://schemas.openxmlformats.org/officeDocument/2006/relationships/hyperlink" Target="https://iea.blob.core.windows.net/assets/9e3a3493-b9a6-4b7d-b499-7ca48e357561/The_Future_of_Hydrogen.pdf" TargetMode="External"/><Relationship Id="rId27" Type="http://schemas.openxmlformats.org/officeDocument/2006/relationships/hyperlink" Target="https://iea.blob.core.windows.net/assets/9e3a3493-b9a6-4b7d-b499-7ca48e357561/The_Future_of_Hydrogen.pdf" TargetMode="External"/><Relationship Id="rId30" Type="http://schemas.openxmlformats.org/officeDocument/2006/relationships/hyperlink" Target="https://iea.blob.core.windows.net/assets/9e3a3493-b9a6-4b7d-b499-7ca48e357561/The_Future_of_Hydrogen.pdf" TargetMode="External"/><Relationship Id="rId35" Type="http://schemas.openxmlformats.org/officeDocument/2006/relationships/hyperlink" Target="https://reader.elsevier.com/reader/sd/pii/S0360319918300843?token=929DB1DEFE2E9260A2DFC9BBCED4016CC933BA36E027EAE214958FDEB82CFBC0ED740C88243F0213BF4E99DF619FA80C&amp;originRegion=eu-west-1&amp;originCreation=20220425073348" TargetMode="External"/><Relationship Id="rId43" Type="http://schemas.openxmlformats.org/officeDocument/2006/relationships/hyperlink" Target="https://reader.elsevier.com/reader/sd/pii/S0360319918300843?token=929DB1DEFE2E9260A2DFC9BBCED4016CC933BA36E027EAE214958FDEB82CFBC0ED740C88243F0213BF4E99DF619FA80C&amp;originRegion=eu-west-1&amp;originCreation=20220425073348" TargetMode="External"/><Relationship Id="rId48" Type="http://schemas.openxmlformats.org/officeDocument/2006/relationships/vmlDrawing" Target="../drawings/vmlDrawing8.vml"/><Relationship Id="rId8" Type="http://schemas.openxmlformats.org/officeDocument/2006/relationships/hyperlink" Target="https://www.startmag.it/wp-content/uploads/European-Hydrogen-Backbone_April-2021_V2.pdf" TargetMode="External"/><Relationship Id="rId51" Type="http://schemas.openxmlformats.org/officeDocument/2006/relationships/table" Target="../tables/table12.xml"/><Relationship Id="rId3" Type="http://schemas.openxmlformats.org/officeDocument/2006/relationships/hyperlink" Target="https://www.startmag.it/wp-content/uploads/European-Hydrogen-Backbone_April-2021_V2.pdf" TargetMode="External"/><Relationship Id="rId12" Type="http://schemas.openxmlformats.org/officeDocument/2006/relationships/hyperlink" Target="https://www.startmag.it/wp-content/uploads/European-Hydrogen-Backbone_April-2021_V2.pdf" TargetMode="External"/><Relationship Id="rId17" Type="http://schemas.openxmlformats.org/officeDocument/2006/relationships/hyperlink" Target="https://iea.blob.core.windows.net/assets/9e3a3493-b9a6-4b7d-b499-7ca48e357561/The_Future_of_Hydrogen.pdf" TargetMode="External"/><Relationship Id="rId25" Type="http://schemas.openxmlformats.org/officeDocument/2006/relationships/hyperlink" Target="https://iea.blob.core.windows.net/assets/9e3a3493-b9a6-4b7d-b499-7ca48e357561/The_Future_of_Hydrogen.pdf" TargetMode="External"/><Relationship Id="rId33" Type="http://schemas.openxmlformats.org/officeDocument/2006/relationships/hyperlink" Target="https://reader.elsevier.com/reader/sd/pii/S0360319918300843?token=929DB1DEFE2E9260A2DFC9BBCED4016CC933BA36E027EAE214958FDEB82CFBC0ED740C88243F0213BF4E99DF619FA80C&amp;originRegion=eu-west-1&amp;originCreation=20220425073348" TargetMode="External"/><Relationship Id="rId38" Type="http://schemas.openxmlformats.org/officeDocument/2006/relationships/hyperlink" Target="https://www.sciencedirect.com/science/article/pii/S0306261921008667" TargetMode="External"/><Relationship Id="rId46" Type="http://schemas.openxmlformats.org/officeDocument/2006/relationships/hyperlink" Target="https://www.mahytec.com/wp-content/uploads/2021/07/CL-DS7-Data-Sheet_500bar-EN.pdf" TargetMode="External"/><Relationship Id="rId20" Type="http://schemas.openxmlformats.org/officeDocument/2006/relationships/hyperlink" Target="https://www.dnv.com/publications/hydrogen-inthe-electricity-value-chain-141099" TargetMode="External"/><Relationship Id="rId41" Type="http://schemas.openxmlformats.org/officeDocument/2006/relationships/hyperlink" Target="https://transitionaccelerator.ca/techbrief-techno-economics-hydrogenpipelines/" TargetMode="External"/><Relationship Id="rId1" Type="http://schemas.openxmlformats.org/officeDocument/2006/relationships/hyperlink" Target="https://www.startmag.it/wp-content/uploads/European-Hydrogen-Backbone_April-2021_V2.pdf" TargetMode="External"/><Relationship Id="rId6" Type="http://schemas.openxmlformats.org/officeDocument/2006/relationships/hyperlink" Target="https://www.startmag.it/wp-content/uploads/European-Hydrogen-Backbone_April-2021_V2.pdf"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7.bin"/><Relationship Id="rId4" Type="http://schemas.microsoft.com/office/2017/10/relationships/threadedComment" Target="../threadedComments/threadedComment2.xm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applewebdata://31258B04-1677-4581-A769-CA032B874ED9/"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applewebdata://31258B04-1677-4581-A769-CA032B874ED9/"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applewebdata://31258B04-1677-4581-A769-CA032B874ED9/"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applewebdata://31258B04-1677-4581-A769-CA032B874ED9/"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applewebdata://31258B04-1677-4581-A769-CA032B874ED9/"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applewebdata://31258B04-1677-4581-A769-CA032B874ED9/" TargetMode="External"/></Relationships>
</file>

<file path=xl/worksheets/_rels/sheet2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5.bin"/><Relationship Id="rId4" Type="http://schemas.microsoft.com/office/2017/10/relationships/threadedComment" Target="../threadedComments/threadedComment3.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applewebdata://31258B04-1677-4581-A769-CA032B874ED9/" TargetMode="External"/></Relationships>
</file>

<file path=xl/worksheets/_rels/sheet27.xml.rels><?xml version="1.0" encoding="UTF-8" standalone="yes"?>
<Relationships xmlns="http://schemas.openxmlformats.org/package/2006/relationships"><Relationship Id="rId117"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21" Type="http://schemas.openxmlformats.org/officeDocument/2006/relationships/hyperlink" Target="https://www.idealhy.eu/uploads/documents/IDEALHY_D3-16_Liquefaction_Report_web.pdf" TargetMode="External"/><Relationship Id="rId63" Type="http://schemas.openxmlformats.org/officeDocument/2006/relationships/hyperlink" Target="https://www.sciencedirect.com/science/article/pii/S0360319918335171" TargetMode="External"/><Relationship Id="rId159"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70" Type="http://schemas.openxmlformats.org/officeDocument/2006/relationships/hyperlink" Target="https://transitionaccelerator.ca/techbrief-techno-economics-hydrogen-compression/" TargetMode="External"/><Relationship Id="rId226" Type="http://schemas.openxmlformats.org/officeDocument/2006/relationships/hyperlink" Target="https://reader.elsevier.com/reader/sd/pii/S0360319914027566?token=FEE599758715ED1E2FCC476382D6C9C66C253BE8142F14B3132157A853880DBB089321C62F7720D06A29119438F668C5&amp;originRegion=eu-west-1&amp;originCreation=20220608073348" TargetMode="External"/><Relationship Id="rId268" Type="http://schemas.openxmlformats.org/officeDocument/2006/relationships/hyperlink" Target="https://www.uniper.energy/energy-storage-uniper/gas-storage-technology" TargetMode="External"/><Relationship Id="rId32" Type="http://schemas.openxmlformats.org/officeDocument/2006/relationships/hyperlink" Target="https://www.sciencedirect.com/science/article/pii/S0306261917305457" TargetMode="External"/><Relationship Id="rId74" Type="http://schemas.openxmlformats.org/officeDocument/2006/relationships/hyperlink" Target="https://transitionaccelerator.ca/techbrief-techno-economics-hydrogen-compression/" TargetMode="External"/><Relationship Id="rId128" Type="http://schemas.openxmlformats.org/officeDocument/2006/relationships/hyperlink" Target="https://www.energy.gov/eere/fuelcells/doe-technical-targets-hydrogen-delivery" TargetMode="External"/><Relationship Id="rId5" Type="http://schemas.openxmlformats.org/officeDocument/2006/relationships/hyperlink" Target="https://iea.blob.core.windows.net/assets/29b027e5-fefc-47df-aed0-456b1bb38844/IEA-The-Future-of-Hydrogen-Assumptions-Annex_CORR.pdf" TargetMode="External"/><Relationship Id="rId181" Type="http://schemas.openxmlformats.org/officeDocument/2006/relationships/hyperlink" Target="https://transitionaccelerator.ca/techbrief-techno-economics-hydrogenpipelines/" TargetMode="External"/><Relationship Id="rId237" Type="http://schemas.openxmlformats.org/officeDocument/2006/relationships/hyperlink" Target="https://transitionaccelerator.ca/techbrief-techno-economics-hydrogenpipelines/" TargetMode="External"/><Relationship Id="rId258" Type="http://schemas.openxmlformats.org/officeDocument/2006/relationships/hyperlink" Target="https://www.gie.eu/wp-content/uploads/filr/3517/Picturing%20the%20value%20of%20gas%20storage%20to%20the%20European%20hydrogen%20system_FINAL_140621.pdf" TargetMode="External"/><Relationship Id="rId279" Type="http://schemas.openxmlformats.org/officeDocument/2006/relationships/comments" Target="../comments11.xml"/><Relationship Id="rId22" Type="http://schemas.openxmlformats.org/officeDocument/2006/relationships/hyperlink" Target="https://www.researchgate.net/publication/314138031_Economically_viable_large-scale_hydrogen_liquefaction" TargetMode="External"/><Relationship Id="rId43" Type="http://schemas.openxmlformats.org/officeDocument/2006/relationships/hyperlink" Target="https://books.google.pt/books/about/Fundamentals_of_Engineering_Thermodynami.html?id=uxObAwAAQBAJ&amp;redir_esc=y" TargetMode="External"/><Relationship Id="rId64" Type="http://schemas.openxmlformats.org/officeDocument/2006/relationships/hyperlink" Target="https://www.sciencedirect.com/science/article/pii/S0360319918335171" TargetMode="External"/><Relationship Id="rId118" Type="http://schemas.openxmlformats.org/officeDocument/2006/relationships/hyperlink" Target="https://transitionaccelerator.ca/techbrief-techno-economics-hydrogen-compression/" TargetMode="External"/><Relationship Id="rId139" Type="http://schemas.openxmlformats.org/officeDocument/2006/relationships/hyperlink" Target="https://transitionaccelerator.ca/techbrief-techno-economics-hydrogen-compression/" TargetMode="External"/><Relationship Id="rId85" Type="http://schemas.openxmlformats.org/officeDocument/2006/relationships/hyperlink" Target="https://transitionaccelerator.ca/techbrief-techno-economics-hydrogenpipelines/" TargetMode="External"/><Relationship Id="rId150" Type="http://schemas.openxmlformats.org/officeDocument/2006/relationships/hyperlink" Target="https://www.sciencedirect.com/science/article/pii/S0360319918335171" TargetMode="External"/><Relationship Id="rId171"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192" Type="http://schemas.openxmlformats.org/officeDocument/2006/relationships/hyperlink" Target="https://transitionaccelerator.ca/techbrief-techno-economics-hydrogen-compression/" TargetMode="External"/><Relationship Id="rId206" Type="http://schemas.openxmlformats.org/officeDocument/2006/relationships/hyperlink" Target="https://www.energy.gov/eere/fuelcells/doe-technical-targets-hydrogen-delivery" TargetMode="External"/><Relationship Id="rId227" Type="http://schemas.openxmlformats.org/officeDocument/2006/relationships/hyperlink" Target="https://reader.elsevier.com/reader/sd/pii/S0360319921010806?token=E0870914B6461FD4BF56D58A4124138370126A3D4A37361D47455F737CA382E19040BE51F323EA4F83DB90D61A0D579F&amp;originRegion=eu-west-1&amp;originCreation=20220608074118" TargetMode="External"/><Relationship Id="rId248" Type="http://schemas.openxmlformats.org/officeDocument/2006/relationships/hyperlink" Target="https://www.sciencedirect.com/science/article/pii/S0360319918335171" TargetMode="External"/><Relationship Id="rId269" Type="http://schemas.openxmlformats.org/officeDocument/2006/relationships/hyperlink" Target="https://www.uniper.energy/energy-storage-uniper/gas-storage-technology" TargetMode="External"/><Relationship Id="rId12" Type="http://schemas.openxmlformats.org/officeDocument/2006/relationships/hyperlink" Target="https://www.idealhy.eu/uploads/documents/IDEALHY_D3-16_Liquefaction_Report_web.pdf" TargetMode="External"/><Relationship Id="rId33" Type="http://schemas.openxmlformats.org/officeDocument/2006/relationships/hyperlink" Target="https://hdsam.es.anl.gov/index.php?content=hdsam" TargetMode="External"/><Relationship Id="rId108" Type="http://schemas.openxmlformats.org/officeDocument/2006/relationships/hyperlink" Target="https://www.sciencedirect.com/science/article/pii/S0360319918335171" TargetMode="External"/><Relationship Id="rId129" Type="http://schemas.openxmlformats.org/officeDocument/2006/relationships/hyperlink" Target="https://transitionaccelerator.ca/techbrief-techno-economics-hydrogenpipelines/" TargetMode="External"/><Relationship Id="rId280" Type="http://schemas.microsoft.com/office/2017/10/relationships/threadedComment" Target="../threadedComments/threadedComment4.xml"/><Relationship Id="rId54" Type="http://schemas.openxmlformats.org/officeDocument/2006/relationships/hyperlink" Target="https://www.energy.gov/eere/fuelcells/doe-technical-targets-hydrogen-delivery" TargetMode="External"/><Relationship Id="rId75"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96" Type="http://schemas.openxmlformats.org/officeDocument/2006/relationships/hyperlink" Target="https://www.sciencedirect.com/science/article/pii/S0360319918335171" TargetMode="External"/><Relationship Id="rId140" Type="http://schemas.openxmlformats.org/officeDocument/2006/relationships/hyperlink" Target="https://transitionaccelerator.ca/techbrief-techno-economics-hydrogen-compression/" TargetMode="External"/><Relationship Id="rId161" Type="http://schemas.openxmlformats.org/officeDocument/2006/relationships/hyperlink" Target="https://www.sciencedirect.com/science/article/pii/S0360319918335171" TargetMode="External"/><Relationship Id="rId182" Type="http://schemas.openxmlformats.org/officeDocument/2006/relationships/hyperlink" Target="https://transitionaccelerator.ca/techbrief-techno-economics-hydrogen-compression/" TargetMode="External"/><Relationship Id="rId217" Type="http://schemas.openxmlformats.org/officeDocument/2006/relationships/hyperlink" Target="https://transitionaccelerator.ca/techbrief-techno-economics-hydrogen-compression/" TargetMode="External"/><Relationship Id="rId6" Type="http://schemas.openxmlformats.org/officeDocument/2006/relationships/hyperlink" Target="https://iea.blob.core.windows.net/assets/29b027e5-fefc-47df-aed0-456b1bb38844/IEA-The-Future-of-Hydrogen-Assumptions-Annex_CORR.pdf" TargetMode="External"/><Relationship Id="rId238" Type="http://schemas.openxmlformats.org/officeDocument/2006/relationships/hyperlink" Target="https://transitionaccelerator.ca/techbrief-techno-economics-hydrogen-compression/" TargetMode="External"/><Relationship Id="rId259" Type="http://schemas.openxmlformats.org/officeDocument/2006/relationships/hyperlink" Target="https://www.gie.eu/wp-content/uploads/filr/3517/Picturing%20the%20value%20of%20gas%20storage%20to%20the%20European%20hydrogen%20system_FINAL_140621.pdf" TargetMode="External"/><Relationship Id="rId23" Type="http://schemas.openxmlformats.org/officeDocument/2006/relationships/hyperlink" Target="https://iea.blob.core.windows.net/assets/29b027e5-fefc-47df-aed0-456b1bb38844/IEA-The-Future-of-Hydrogen-Assumptions-Annex_CORR.pdf" TargetMode="External"/><Relationship Id="rId119" Type="http://schemas.openxmlformats.org/officeDocument/2006/relationships/hyperlink" Target="https://transitionaccelerator.ca/techbrief-techno-economics-hydrogen-compression/" TargetMode="External"/><Relationship Id="rId270" Type="http://schemas.openxmlformats.org/officeDocument/2006/relationships/hyperlink" Target="https://www.uniper.energy/energy-storage-uniper/gas-storage-technology" TargetMode="External"/><Relationship Id="rId44" Type="http://schemas.openxmlformats.org/officeDocument/2006/relationships/hyperlink" Target="https://books.google.pt/books/about/Fundamentals_of_Engineering_Thermodynami.html?id=uxObAwAAQBAJ&amp;redir_esc=y" TargetMode="External"/><Relationship Id="rId65" Type="http://schemas.openxmlformats.org/officeDocument/2006/relationships/hyperlink" Target="https://www.sciencedirect.com/science/article/pii/S0360319918335171" TargetMode="External"/><Relationship Id="rId86" Type="http://schemas.openxmlformats.org/officeDocument/2006/relationships/hyperlink" Target="https://transitionaccelerator.ca/techbrief-techno-economics-hydrogen-compression/" TargetMode="External"/><Relationship Id="rId130" Type="http://schemas.openxmlformats.org/officeDocument/2006/relationships/hyperlink" Target="https://transitionaccelerator.ca/techbrief-techno-economics-hydrogen-compression/" TargetMode="External"/><Relationship Id="rId151" Type="http://schemas.openxmlformats.org/officeDocument/2006/relationships/hyperlink" Target="https://www.sciencedirect.com/science/article/pii/S0360319918335171" TargetMode="External"/><Relationship Id="rId172"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93" Type="http://schemas.openxmlformats.org/officeDocument/2006/relationships/hyperlink" Target="https://www.energy.gov/eere/fuelcells/doe-technical-targets-hydrogen-delivery" TargetMode="External"/><Relationship Id="rId207" Type="http://schemas.openxmlformats.org/officeDocument/2006/relationships/hyperlink" Target="https://transitionaccelerator.ca/techbrief-techno-economics-hydrogenpipelines/" TargetMode="External"/><Relationship Id="rId228" Type="http://schemas.openxmlformats.org/officeDocument/2006/relationships/hyperlink" Target="https://transitionaccelerator.ca/techbrief-techno-economics-hydrogen-compression/" TargetMode="External"/><Relationship Id="rId249" Type="http://schemas.openxmlformats.org/officeDocument/2006/relationships/hyperlink" Target="https://transitionaccelerator.ca/techbrief-techno-economics-hydrogen-compression/" TargetMode="External"/><Relationship Id="rId13" Type="http://schemas.openxmlformats.org/officeDocument/2006/relationships/hyperlink" Target="https://www.researchgate.net/publication/314138031_Economically_viable_large-scale_hydrogen_liquefaction" TargetMode="External"/><Relationship Id="rId109" Type="http://schemas.openxmlformats.org/officeDocument/2006/relationships/hyperlink" Target="https://www.sciencedirect.com/science/article/pii/S0360319918335171" TargetMode="External"/><Relationship Id="rId260" Type="http://schemas.openxmlformats.org/officeDocument/2006/relationships/hyperlink" Target="https://www.gie.eu/wp-content/uploads/filr/3517/Picturing%20the%20value%20of%20gas%20storage%20to%20the%20European%20hydrogen%20system_FINAL_140621.pdf" TargetMode="External"/><Relationship Id="rId34" Type="http://schemas.openxmlformats.org/officeDocument/2006/relationships/hyperlink" Target="https://hdsam.es.anl.gov/index.php?content=hdsam" TargetMode="External"/><Relationship Id="rId55" Type="http://schemas.openxmlformats.org/officeDocument/2006/relationships/hyperlink" Target="https://transitionaccelerator.ca/techbrief-techno-economics-hydrogenpipelines/" TargetMode="External"/><Relationship Id="rId76" Type="http://schemas.openxmlformats.org/officeDocument/2006/relationships/hyperlink" Target="https://transitionaccelerator.ca/techbrief-techno-economics-hydrogen-compression/" TargetMode="External"/><Relationship Id="rId97" Type="http://schemas.openxmlformats.org/officeDocument/2006/relationships/hyperlink" Target="https://transitionaccelerator.ca/techbrief-techno-economics-hydrogen-compression/" TargetMode="External"/><Relationship Id="rId120"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141" Type="http://schemas.openxmlformats.org/officeDocument/2006/relationships/hyperlink" Target="https://www.energy.gov/eere/fuelcells/doe-technical-targets-hydrogen-delivery" TargetMode="External"/><Relationship Id="rId7" Type="http://schemas.openxmlformats.org/officeDocument/2006/relationships/hyperlink" Target="https://iea.blob.core.windows.net/assets/29b027e5-fefc-47df-aed0-456b1bb38844/IEA-The-Future-of-Hydrogen-Assumptions-Annex_CORR.pdf" TargetMode="External"/><Relationship Id="rId162" Type="http://schemas.openxmlformats.org/officeDocument/2006/relationships/hyperlink" Target="https://www.sciencedirect.com/science/article/pii/S0360319918335171" TargetMode="External"/><Relationship Id="rId183" Type="http://schemas.openxmlformats.org/officeDocument/2006/relationships/hyperlink" Target="https://transitionaccelerator.ca/techbrief-techno-economics-hydrogen-compression/" TargetMode="External"/><Relationship Id="rId218" Type="http://schemas.openxmlformats.org/officeDocument/2006/relationships/hyperlink" Target="https://transitionaccelerator.ca/techbrief-techno-economics-hydrogen-compression/" TargetMode="External"/><Relationship Id="rId239" Type="http://schemas.openxmlformats.org/officeDocument/2006/relationships/hyperlink" Target="https://transitionaccelerator.ca/techbrief-techno-economics-hydrogen-compression/" TargetMode="External"/><Relationship Id="rId250" Type="http://schemas.openxmlformats.org/officeDocument/2006/relationships/hyperlink" Target="https://transitionaccelerator.ca/techbrief-techno-economics-hydrogen-compression/" TargetMode="External"/><Relationship Id="rId271" Type="http://schemas.openxmlformats.org/officeDocument/2006/relationships/hyperlink" Target="https://www.uniper.energy/energy-storage-uniper/gas-storage-technology" TargetMode="External"/><Relationship Id="rId24" Type="http://schemas.openxmlformats.org/officeDocument/2006/relationships/hyperlink" Target="https://www.researchgate.net/publication/314138031_Economically_viable_large-scale_hydrogen_liquefaction" TargetMode="External"/><Relationship Id="rId45" Type="http://schemas.openxmlformats.org/officeDocument/2006/relationships/hyperlink" Target="https://www.fch.europa.eu/sites/default/files/study%20electrolyser_0.pdf" TargetMode="External"/><Relationship Id="rId66" Type="http://schemas.openxmlformats.org/officeDocument/2006/relationships/hyperlink" Target="https://www.sciencedirect.com/science/article/pii/S0360319918335171" TargetMode="External"/><Relationship Id="rId87" Type="http://schemas.openxmlformats.org/officeDocument/2006/relationships/hyperlink" Target="https://transitionaccelerator.ca/techbrief-techno-economics-hydrogen-compression/" TargetMode="External"/><Relationship Id="rId110" Type="http://schemas.openxmlformats.org/officeDocument/2006/relationships/hyperlink" Target="https://www.sciencedirect.com/science/article/pii/S0360319918335171" TargetMode="External"/><Relationship Id="rId131" Type="http://schemas.openxmlformats.org/officeDocument/2006/relationships/hyperlink" Target="https://transitionaccelerator.ca/techbrief-techno-economics-hydrogen-compression/" TargetMode="External"/><Relationship Id="rId152" Type="http://schemas.openxmlformats.org/officeDocument/2006/relationships/hyperlink" Target="https://transitionaccelerator.ca/techbrief-techno-economics-hydrogen-compression/" TargetMode="External"/><Relationship Id="rId173" Type="http://schemas.openxmlformats.org/officeDocument/2006/relationships/hyperlink" Target="https://www.sciencedirect.com/science/article/pii/S0360319918335171" TargetMode="External"/><Relationship Id="rId194" Type="http://schemas.openxmlformats.org/officeDocument/2006/relationships/hyperlink" Target="https://transitionaccelerator.ca/techbrief-techno-economics-hydrogenpipelines/" TargetMode="External"/><Relationship Id="rId208" Type="http://schemas.openxmlformats.org/officeDocument/2006/relationships/hyperlink" Target="https://transitionaccelerator.ca/techbrief-techno-economics-hydrogen-compression/" TargetMode="External"/><Relationship Id="rId229" Type="http://schemas.openxmlformats.org/officeDocument/2006/relationships/hyperlink" Target="https://www.sciencedirect.com/science/article/pii/S0360319918335171" TargetMode="External"/><Relationship Id="rId240" Type="http://schemas.openxmlformats.org/officeDocument/2006/relationships/hyperlink" Target="https://transitionaccelerator.ca/techbrief-techno-economics-hydrogen-compression/" TargetMode="External"/><Relationship Id="rId261" Type="http://schemas.openxmlformats.org/officeDocument/2006/relationships/hyperlink" Target="https://www.gie.eu/wp-content/uploads/filr/3517/Picturing%20the%20value%20of%20gas%20storage%20to%20the%20European%20hydrogen%20system_FINAL_140621.pdf" TargetMode="External"/><Relationship Id="rId14" Type="http://schemas.openxmlformats.org/officeDocument/2006/relationships/hyperlink" Target="https://iea.blob.core.windows.net/assets/29b027e5-fefc-47df-aed0-456b1bb38844/IEA-The-Future-of-Hydrogen-Assumptions-Annex_CORR.pdf" TargetMode="External"/><Relationship Id="rId35" Type="http://schemas.openxmlformats.org/officeDocument/2006/relationships/hyperlink" Target="https://hdsam.es.anl.gov/index.php?content=hdsam" TargetMode="External"/><Relationship Id="rId56" Type="http://schemas.openxmlformats.org/officeDocument/2006/relationships/hyperlink" Target="https://transitionaccelerator.ca/techbrief-techno-economics-hydrogen-compression/" TargetMode="External"/><Relationship Id="rId77" Type="http://schemas.openxmlformats.org/officeDocument/2006/relationships/hyperlink" Target="https://www.sciencedirect.com/science/article/pii/S0360319918335171" TargetMode="External"/><Relationship Id="rId100" Type="http://schemas.openxmlformats.org/officeDocument/2006/relationships/hyperlink" Target="https://transitionaccelerator.ca/techbrief-techno-economics-hydrogenpipelines/" TargetMode="External"/><Relationship Id="rId8" Type="http://schemas.openxmlformats.org/officeDocument/2006/relationships/hyperlink" Target="https://iea.blob.core.windows.net/assets/29b027e5-fefc-47df-aed0-456b1bb38844/IEA-The-Future-of-Hydrogen-Assumptions-Annex_CORR.pdf" TargetMode="External"/><Relationship Id="rId98" Type="http://schemas.openxmlformats.org/officeDocument/2006/relationships/hyperlink" Target="https://transitionaccelerator.ca/techbrief-techno-economics-hydrogen-compression/" TargetMode="External"/><Relationship Id="rId121" Type="http://schemas.openxmlformats.org/officeDocument/2006/relationships/hyperlink" Target="https://www.sciencedirect.com/science/article/pii/S0360319918335171" TargetMode="External"/><Relationship Id="rId142" Type="http://schemas.openxmlformats.org/officeDocument/2006/relationships/hyperlink" Target="https://transitionaccelerator.ca/techbrief-techno-economics-hydrogenpipelines/" TargetMode="External"/><Relationship Id="rId163" Type="http://schemas.openxmlformats.org/officeDocument/2006/relationships/hyperlink" Target="https://www.sciencedirect.com/science/article/pii/S0360319918335171" TargetMode="External"/><Relationship Id="rId184"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19" Type="http://schemas.openxmlformats.org/officeDocument/2006/relationships/hyperlink" Target="https://www.energy.gov/eere/fuelcells/doe-technical-targets-hydrogen-delivery" TargetMode="External"/><Relationship Id="rId230" Type="http://schemas.openxmlformats.org/officeDocument/2006/relationships/hyperlink" Target="https://www.sciencedirect.com/science/article/pii/S0360319918335171" TargetMode="External"/><Relationship Id="rId251" Type="http://schemas.openxmlformats.org/officeDocument/2006/relationships/hyperlink" Target="https://www.energy.gov/eere/fuelcells/doe-technical-targets-hydrogen-delivery" TargetMode="External"/><Relationship Id="rId25" Type="http://schemas.openxmlformats.org/officeDocument/2006/relationships/hyperlink" Target="https://iea.blob.core.windows.net/assets/29b027e5-fefc-47df-aed0-456b1bb38844/IEA-The-Future-of-Hydrogen-Assumptions-Annex_CORR.pdf" TargetMode="External"/><Relationship Id="rId46" Type="http://schemas.openxmlformats.org/officeDocument/2006/relationships/hyperlink" Target="https://transitionaccelerator.ca/techbrief-techno-economics-hydrogen-compression/" TargetMode="External"/><Relationship Id="rId67" Type="http://schemas.openxmlformats.org/officeDocument/2006/relationships/hyperlink" Target="https://transitionaccelerator.ca/techbrief-techno-economics-hydrogen-compression/" TargetMode="External"/><Relationship Id="rId272" Type="http://schemas.openxmlformats.org/officeDocument/2006/relationships/printerSettings" Target="../printerSettings/printerSettings27.bin"/><Relationship Id="rId88" Type="http://schemas.openxmlformats.org/officeDocument/2006/relationships/hyperlink" Target="https://transitionaccelerator.ca/techbrief-techno-economics-hydrogen-compression/" TargetMode="External"/><Relationship Id="rId111" Type="http://schemas.openxmlformats.org/officeDocument/2006/relationships/hyperlink" Target="https://www.sciencedirect.com/science/article/pii/S0360319918335171" TargetMode="External"/><Relationship Id="rId132"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153" Type="http://schemas.openxmlformats.org/officeDocument/2006/relationships/hyperlink" Target="https://transitionaccelerator.ca/techbrief-techno-economics-hydrogen-compression/" TargetMode="External"/><Relationship Id="rId174" Type="http://schemas.openxmlformats.org/officeDocument/2006/relationships/hyperlink" Target="https://www.sciencedirect.com/science/article/pii/S0360319918335171" TargetMode="External"/><Relationship Id="rId195" Type="http://schemas.openxmlformats.org/officeDocument/2006/relationships/hyperlink" Target="https://transitionaccelerator.ca/techbrief-techno-economics-hydrogen-compression/" TargetMode="External"/><Relationship Id="rId209" Type="http://schemas.openxmlformats.org/officeDocument/2006/relationships/hyperlink" Target="https://transitionaccelerator.ca/techbrief-techno-economics-hydrogen-compression/" TargetMode="External"/><Relationship Id="rId220" Type="http://schemas.openxmlformats.org/officeDocument/2006/relationships/hyperlink" Target="https://transitionaccelerator.ca/techbrief-techno-economics-hydrogenpipelines/" TargetMode="External"/><Relationship Id="rId241" Type="http://schemas.openxmlformats.org/officeDocument/2006/relationships/hyperlink" Target="https://transitionaccelerator.ca/techbrief-techno-economics-hydrogen-compression/" TargetMode="External"/><Relationship Id="rId15" Type="http://schemas.openxmlformats.org/officeDocument/2006/relationships/hyperlink" Target="https://www.researchgate.net/publication/314138031_Economically_viable_large-scale_hydrogen_liquefaction" TargetMode="External"/><Relationship Id="rId36" Type="http://schemas.openxmlformats.org/officeDocument/2006/relationships/hyperlink" Target="https://www.cell.com/joule/fulltext/S2542-4351(18)30178-8?_returnURL=https%3A%2F%2Flinkinghub.elsevier.com%2Fretrieve%2Fpii%2FS2542435118301788%3Fshowall%3Dtrue" TargetMode="External"/><Relationship Id="rId57" Type="http://schemas.openxmlformats.org/officeDocument/2006/relationships/hyperlink" Target="https://transitionaccelerator.ca/techbrief-techno-economics-hydrogen-compression/" TargetMode="External"/><Relationship Id="rId262" Type="http://schemas.openxmlformats.org/officeDocument/2006/relationships/hyperlink" Target="https://iea.blob.core.windows.net/assets/29b027e5-fefc-47df-aed0-456b1bb38844/IEA-The-Future-of-Hydrogen-Assumptions-Annex_CORR.pdf" TargetMode="External"/><Relationship Id="rId78" Type="http://schemas.openxmlformats.org/officeDocument/2006/relationships/hyperlink" Target="https://www.sciencedirect.com/science/article/pii/S0360319918335171" TargetMode="External"/><Relationship Id="rId99" Type="http://schemas.openxmlformats.org/officeDocument/2006/relationships/hyperlink" Target="https://www.energy.gov/eere/fuelcells/doe-technical-targets-hydrogen-delivery" TargetMode="External"/><Relationship Id="rId101" Type="http://schemas.openxmlformats.org/officeDocument/2006/relationships/hyperlink" Target="https://transitionaccelerator.ca/techbrief-techno-economics-hydrogen-compression/" TargetMode="External"/><Relationship Id="rId122" Type="http://schemas.openxmlformats.org/officeDocument/2006/relationships/hyperlink" Target="https://www.sciencedirect.com/science/article/pii/S0360319918335171" TargetMode="External"/><Relationship Id="rId143" Type="http://schemas.openxmlformats.org/officeDocument/2006/relationships/hyperlink" Target="https://transitionaccelerator.ca/techbrief-techno-economics-hydrogen-compression/" TargetMode="External"/><Relationship Id="rId164" Type="http://schemas.openxmlformats.org/officeDocument/2006/relationships/hyperlink" Target="https://www.sciencedirect.com/science/article/pii/S0360319918335171" TargetMode="External"/><Relationship Id="rId185"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9" Type="http://schemas.openxmlformats.org/officeDocument/2006/relationships/hyperlink" Target="https://books.google.pt/books?id=XpUfzby6Pv4C&amp;source=gbs_similarbooks" TargetMode="External"/><Relationship Id="rId210"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6" Type="http://schemas.openxmlformats.org/officeDocument/2006/relationships/hyperlink" Target="https://books.google.pt/books?id=XpUfzby6Pv4C&amp;source=gbs_similarbooks" TargetMode="External"/><Relationship Id="rId231" Type="http://schemas.openxmlformats.org/officeDocument/2006/relationships/hyperlink" Target="https://www.sciencedirect.com/science/article/pii/S0360319918335171" TargetMode="External"/><Relationship Id="rId252" Type="http://schemas.openxmlformats.org/officeDocument/2006/relationships/hyperlink" Target="https://transitionaccelerator.ca/techbrief-techno-economics-hydrogenpipelines/" TargetMode="External"/><Relationship Id="rId273" Type="http://schemas.openxmlformats.org/officeDocument/2006/relationships/vmlDrawing" Target="../drawings/vmlDrawing11.vml"/><Relationship Id="rId47" Type="http://schemas.openxmlformats.org/officeDocument/2006/relationships/hyperlink" Target="https://www.sciencedirect.com/science/article/pii/S0360319918335171" TargetMode="External"/><Relationship Id="rId68" Type="http://schemas.openxmlformats.org/officeDocument/2006/relationships/hyperlink" Target="https://transitionaccelerator.ca/techbrief-techno-economics-hydrogen-compression/" TargetMode="External"/><Relationship Id="rId89" Type="http://schemas.openxmlformats.org/officeDocument/2006/relationships/hyperlink" Target="https://transitionaccelerator.ca/techbrief-techno-economics-hydrogen-compression/" TargetMode="External"/><Relationship Id="rId112" Type="http://schemas.openxmlformats.org/officeDocument/2006/relationships/hyperlink" Target="https://transitionaccelerator.ca/techbrief-techno-economics-hydrogen-compression/" TargetMode="External"/><Relationship Id="rId133"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54" Type="http://schemas.openxmlformats.org/officeDocument/2006/relationships/hyperlink" Target="https://www.energy.gov/eere/fuelcells/doe-technical-targets-hydrogen-delivery" TargetMode="External"/><Relationship Id="rId175" Type="http://schemas.openxmlformats.org/officeDocument/2006/relationships/hyperlink" Target="https://www.sciencedirect.com/science/article/pii/S0360319918335171" TargetMode="External"/><Relationship Id="rId196" Type="http://schemas.openxmlformats.org/officeDocument/2006/relationships/hyperlink" Target="https://transitionaccelerator.ca/techbrief-techno-economics-hydrogen-compression/" TargetMode="External"/><Relationship Id="rId200" Type="http://schemas.openxmlformats.org/officeDocument/2006/relationships/hyperlink" Target="https://www.sciencedirect.com/science/article/pii/S0360319918335171" TargetMode="External"/><Relationship Id="rId16" Type="http://schemas.openxmlformats.org/officeDocument/2006/relationships/hyperlink" Target="https://iea.blob.core.windows.net/assets/29b027e5-fefc-47df-aed0-456b1bb38844/IEA-The-Future-of-Hydrogen-Assumptions-Annex_CORR.pdf" TargetMode="External"/><Relationship Id="rId221" Type="http://schemas.openxmlformats.org/officeDocument/2006/relationships/hyperlink" Target="https://transitionaccelerator.ca/techbrief-techno-economics-hydrogen-compression/" TargetMode="External"/><Relationship Id="rId242"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63" Type="http://schemas.openxmlformats.org/officeDocument/2006/relationships/hyperlink" Target="https://iea.blob.core.windows.net/assets/29b027e5-fefc-47df-aed0-456b1bb38844/IEA-The-Future-of-Hydrogen-Assumptions-Annex_CORR.pdf" TargetMode="External"/><Relationship Id="rId37" Type="http://schemas.openxmlformats.org/officeDocument/2006/relationships/hyperlink" Target="https://www.cell.com/joule/fulltext/S2542-4351(18)30178-8?_returnURL=https%3A%2F%2Flinkinghub.elsevier.com%2Fretrieve%2Fpii%2FS2542435118301788%3Fshowall%3Dtrue" TargetMode="External"/><Relationship Id="rId58" Type="http://schemas.openxmlformats.org/officeDocument/2006/relationships/hyperlink" Target="https://transitionaccelerator.ca/techbrief-techno-economics-hydrogen-compression/" TargetMode="External"/><Relationship Id="rId79" Type="http://schemas.openxmlformats.org/officeDocument/2006/relationships/hyperlink" Target="https://www.sciencedirect.com/science/article/pii/S0360319918335171" TargetMode="External"/><Relationship Id="rId102" Type="http://schemas.openxmlformats.org/officeDocument/2006/relationships/hyperlink" Target="https://transitionaccelerator.ca/techbrief-techno-economics-hydrogen-compression/" TargetMode="External"/><Relationship Id="rId123" Type="http://schemas.openxmlformats.org/officeDocument/2006/relationships/hyperlink" Target="https://www.sciencedirect.com/science/article/pii/S0360319918335171" TargetMode="External"/><Relationship Id="rId144" Type="http://schemas.openxmlformats.org/officeDocument/2006/relationships/hyperlink" Target="https://transitionaccelerator.ca/techbrief-techno-economics-hydrogen-compression/" TargetMode="External"/><Relationship Id="rId90"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165" Type="http://schemas.openxmlformats.org/officeDocument/2006/relationships/hyperlink" Target="https://transitionaccelerator.ca/techbrief-techno-economics-hydrogen-compression/" TargetMode="External"/><Relationship Id="rId186" Type="http://schemas.openxmlformats.org/officeDocument/2006/relationships/hyperlink" Target="https://www.sciencedirect.com/science/article/pii/S0360319918335171" TargetMode="External"/><Relationship Id="rId211"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232" Type="http://schemas.openxmlformats.org/officeDocument/2006/relationships/hyperlink" Target="https://www.sciencedirect.com/science/article/pii/S0360319918335171" TargetMode="External"/><Relationship Id="rId253" Type="http://schemas.openxmlformats.org/officeDocument/2006/relationships/hyperlink" Target="https://transitionaccelerator.ca/techbrief-techno-economics-hydrogen-compression/" TargetMode="External"/><Relationship Id="rId274" Type="http://schemas.openxmlformats.org/officeDocument/2006/relationships/table" Target="../tables/table13.xml"/><Relationship Id="rId27" Type="http://schemas.openxmlformats.org/officeDocument/2006/relationships/hyperlink" Target="https://www.researchgate.net/publication/353433126_A_novel_hydrogen_liquefaction_process_based_on_LNG_cold_energy_and_mixed_refrigerant_cycle" TargetMode="External"/><Relationship Id="rId48" Type="http://schemas.openxmlformats.org/officeDocument/2006/relationships/hyperlink" Target="https://www.sciencedirect.com/science/article/pii/S0360319918335171" TargetMode="External"/><Relationship Id="rId69" Type="http://schemas.openxmlformats.org/officeDocument/2006/relationships/hyperlink" Target="https://www.energy.gov/eere/fuelcells/doe-technical-targets-hydrogen-delivery" TargetMode="External"/><Relationship Id="rId113" Type="http://schemas.openxmlformats.org/officeDocument/2006/relationships/hyperlink" Target="https://transitionaccelerator.ca/techbrief-techno-economics-hydrogen-compression/" TargetMode="External"/><Relationship Id="rId134" Type="http://schemas.openxmlformats.org/officeDocument/2006/relationships/hyperlink" Target="https://www.sciencedirect.com/science/article/pii/S0360319918335171" TargetMode="External"/><Relationship Id="rId80" Type="http://schemas.openxmlformats.org/officeDocument/2006/relationships/hyperlink" Target="https://www.sciencedirect.com/science/article/pii/S0360319918335171" TargetMode="External"/><Relationship Id="rId155" Type="http://schemas.openxmlformats.org/officeDocument/2006/relationships/hyperlink" Target="https://transitionaccelerator.ca/techbrief-techno-economics-hydrogenpipelines/" TargetMode="External"/><Relationship Id="rId176" Type="http://schemas.openxmlformats.org/officeDocument/2006/relationships/hyperlink" Target="https://www.sciencedirect.com/science/article/pii/S0360319918335171" TargetMode="External"/><Relationship Id="rId197"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01" Type="http://schemas.openxmlformats.org/officeDocument/2006/relationships/hyperlink" Target="https://www.sciencedirect.com/science/article/pii/S0360319918335171" TargetMode="External"/><Relationship Id="rId222" Type="http://schemas.openxmlformats.org/officeDocument/2006/relationships/hyperlink" Target="https://transitionaccelerator.ca/techbrief-techno-economics-hydrogen-compression/" TargetMode="External"/><Relationship Id="rId243" Type="http://schemas.openxmlformats.org/officeDocument/2006/relationships/hyperlink" Target="https://transitionaccelerator.ca/techbrief-techno-economics-hydrogen-compression/" TargetMode="External"/><Relationship Id="rId264" Type="http://schemas.openxmlformats.org/officeDocument/2006/relationships/hyperlink" Target="https://www.gie.eu/wp-content/uploads/filr/2598/DNV-GL_Study-GLE-Technologies-and-costs-analysis-on-imports-of-liquid-renewable-energy.pdf" TargetMode="External"/><Relationship Id="rId17" Type="http://schemas.openxmlformats.org/officeDocument/2006/relationships/hyperlink" Target="https://books.google.pt/books?id=XpUfzby6Pv4C&amp;source=gbs_similarbooks" TargetMode="External"/><Relationship Id="rId38" Type="http://schemas.openxmlformats.org/officeDocument/2006/relationships/hyperlink" Target="https://books.google.pt/books?id=XpUfzby6Pv4C&amp;source=gbs_similarbooks" TargetMode="External"/><Relationship Id="rId59" Type="http://schemas.openxmlformats.org/officeDocument/2006/relationships/hyperlink" Target="https://transitionaccelerator.ca/techbrief-techno-economics-hydrogen-compression/" TargetMode="External"/><Relationship Id="rId103" Type="http://schemas.openxmlformats.org/officeDocument/2006/relationships/hyperlink" Target="https://transitionaccelerator.ca/techbrief-techno-economics-hydrogen-compression/" TargetMode="External"/><Relationship Id="rId124" Type="http://schemas.openxmlformats.org/officeDocument/2006/relationships/hyperlink" Target="https://www.sciencedirect.com/science/article/pii/S0360319918335171" TargetMode="External"/><Relationship Id="rId70" Type="http://schemas.openxmlformats.org/officeDocument/2006/relationships/hyperlink" Target="https://transitionaccelerator.ca/techbrief-techno-economics-hydrogenpipelines/" TargetMode="External"/><Relationship Id="rId91" Type="http://schemas.openxmlformats.org/officeDocument/2006/relationships/hyperlink" Target="https://transitionaccelerator.ca/techbrief-techno-economics-hydrogen-compression/" TargetMode="External"/><Relationship Id="rId145"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166" Type="http://schemas.openxmlformats.org/officeDocument/2006/relationships/hyperlink" Target="https://transitionaccelerator.ca/techbrief-techno-economics-hydrogen-compression/" TargetMode="External"/><Relationship Id="rId187" Type="http://schemas.openxmlformats.org/officeDocument/2006/relationships/hyperlink" Target="https://www.sciencedirect.com/science/article/pii/S0360319918335171" TargetMode="External"/><Relationship Id="rId1" Type="http://schemas.openxmlformats.org/officeDocument/2006/relationships/hyperlink" Target="https://iea.blob.core.windows.net/assets/29b027e5-fefc-47df-aed0-456b1bb38844/IEA-The-Future-of-Hydrogen-Assumptions-Annex_CORR.pdf" TargetMode="External"/><Relationship Id="rId212" Type="http://schemas.openxmlformats.org/officeDocument/2006/relationships/hyperlink" Target="https://www.sciencedirect.com/science/article/pii/S0360319918335171" TargetMode="External"/><Relationship Id="rId233" Type="http://schemas.openxmlformats.org/officeDocument/2006/relationships/hyperlink" Target="https://www.sciencedirect.com/science/article/pii/S0360319918335171" TargetMode="External"/><Relationship Id="rId254" Type="http://schemas.openxmlformats.org/officeDocument/2006/relationships/hyperlink" Target="https://transitionaccelerator.ca/techbrief-techno-economics-hydrogen-compression/" TargetMode="External"/><Relationship Id="rId28" Type="http://schemas.openxmlformats.org/officeDocument/2006/relationships/hyperlink" Target="https://www.sciencedirect.com/science/article/pii/S0306261917305457" TargetMode="External"/><Relationship Id="rId49" Type="http://schemas.openxmlformats.org/officeDocument/2006/relationships/hyperlink" Target="https://www.sciencedirect.com/science/article/pii/S0360319918335171" TargetMode="External"/><Relationship Id="rId114" Type="http://schemas.openxmlformats.org/officeDocument/2006/relationships/hyperlink" Target="https://www.energy.gov/eere/fuelcells/doe-technical-targets-hydrogen-delivery" TargetMode="External"/><Relationship Id="rId275" Type="http://schemas.openxmlformats.org/officeDocument/2006/relationships/table" Target="../tables/table14.xml"/><Relationship Id="rId60"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81" Type="http://schemas.openxmlformats.org/officeDocument/2006/relationships/hyperlink" Target="https://www.sciencedirect.com/science/article/pii/S0360319918335171" TargetMode="External"/><Relationship Id="rId135" Type="http://schemas.openxmlformats.org/officeDocument/2006/relationships/hyperlink" Target="https://www.sciencedirect.com/science/article/pii/S0360319918335171" TargetMode="External"/><Relationship Id="rId156" Type="http://schemas.openxmlformats.org/officeDocument/2006/relationships/hyperlink" Target="https://transitionaccelerator.ca/techbrief-techno-economics-hydrogen-compression/" TargetMode="External"/><Relationship Id="rId177" Type="http://schemas.openxmlformats.org/officeDocument/2006/relationships/hyperlink" Target="https://www.sciencedirect.com/science/article/pii/S0360319918335171" TargetMode="External"/><Relationship Id="rId198"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202" Type="http://schemas.openxmlformats.org/officeDocument/2006/relationships/hyperlink" Target="https://www.sciencedirect.com/science/article/pii/S0360319918335171" TargetMode="External"/><Relationship Id="rId223"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44" Type="http://schemas.openxmlformats.org/officeDocument/2006/relationships/hyperlink" Target="https://www.sciencedirect.com/science/article/pii/S0360319918335171" TargetMode="External"/><Relationship Id="rId18" Type="http://schemas.openxmlformats.org/officeDocument/2006/relationships/hyperlink" Target="https://iea.blob.core.windows.net/assets/29b027e5-fefc-47df-aed0-456b1bb38844/IEA-The-Future-of-Hydrogen-Assumptions-Annex_CORR.pdf" TargetMode="External"/><Relationship Id="rId39" Type="http://schemas.openxmlformats.org/officeDocument/2006/relationships/hyperlink" Target="https://dr.lib.iastate.edu/entities/publication/0d44bb27-0317-4e6f-901c-3d709853a435" TargetMode="External"/><Relationship Id="rId265" Type="http://schemas.openxmlformats.org/officeDocument/2006/relationships/hyperlink" Target="https://www.sciencedirect.com/science/article/pii/B9780128194249000069" TargetMode="External"/><Relationship Id="rId50" Type="http://schemas.openxmlformats.org/officeDocument/2006/relationships/hyperlink" Target="https://www.sciencedirect.com/science/article/pii/S0360319918335171" TargetMode="External"/><Relationship Id="rId104" Type="http://schemas.openxmlformats.org/officeDocument/2006/relationships/hyperlink" Target="https://transitionaccelerator.ca/techbrief-techno-economics-hydrogen-compression/" TargetMode="External"/><Relationship Id="rId125" Type="http://schemas.openxmlformats.org/officeDocument/2006/relationships/hyperlink" Target="https://www.sciencedirect.com/science/article/pii/S0360319918335171" TargetMode="External"/><Relationship Id="rId146"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167" Type="http://schemas.openxmlformats.org/officeDocument/2006/relationships/hyperlink" Target="https://www.energy.gov/eere/fuelcells/doe-technical-targets-hydrogen-delivery" TargetMode="External"/><Relationship Id="rId188" Type="http://schemas.openxmlformats.org/officeDocument/2006/relationships/hyperlink" Target="https://www.sciencedirect.com/science/article/pii/S0360319918335171" TargetMode="External"/><Relationship Id="rId71" Type="http://schemas.openxmlformats.org/officeDocument/2006/relationships/hyperlink" Target="https://transitionaccelerator.ca/techbrief-techno-economics-hydrogen-compression/" TargetMode="External"/><Relationship Id="rId92" Type="http://schemas.openxmlformats.org/officeDocument/2006/relationships/hyperlink" Target="https://www.sciencedirect.com/science/article/pii/S0360319918335171" TargetMode="External"/><Relationship Id="rId213" Type="http://schemas.openxmlformats.org/officeDocument/2006/relationships/hyperlink" Target="https://www.sciencedirect.com/science/article/pii/S0360319918335171" TargetMode="External"/><Relationship Id="rId234" Type="http://schemas.openxmlformats.org/officeDocument/2006/relationships/hyperlink" Target="https://transitionaccelerator.ca/techbrief-techno-economics-hydrogen-compression/" TargetMode="External"/><Relationship Id="rId2" Type="http://schemas.openxmlformats.org/officeDocument/2006/relationships/hyperlink" Target="https://iea.blob.core.windows.net/assets/29b027e5-fefc-47df-aed0-456b1bb38844/IEA-The-Future-of-Hydrogen-Assumptions-Annex_CORR.pdf" TargetMode="External"/><Relationship Id="rId29" Type="http://schemas.openxmlformats.org/officeDocument/2006/relationships/hyperlink" Target="https://www.sciencedirect.com/science/article/pii/S0306261917305457" TargetMode="External"/><Relationship Id="rId255" Type="http://schemas.openxmlformats.org/officeDocument/2006/relationships/hyperlink" Target="https://transitionaccelerator.ca/techbrief-techno-economics-hydrogen-compression/" TargetMode="External"/><Relationship Id="rId276" Type="http://schemas.openxmlformats.org/officeDocument/2006/relationships/table" Target="../tables/table15.xml"/><Relationship Id="rId40" Type="http://schemas.openxmlformats.org/officeDocument/2006/relationships/hyperlink" Target="https://dr.lib.iastate.edu/entities/publication/0d44bb27-0317-4e6f-901c-3d709853a435" TargetMode="External"/><Relationship Id="rId115" Type="http://schemas.openxmlformats.org/officeDocument/2006/relationships/hyperlink" Target="https://transitionaccelerator.ca/techbrief-techno-economics-hydrogenpipelines/" TargetMode="External"/><Relationship Id="rId136" Type="http://schemas.openxmlformats.org/officeDocument/2006/relationships/hyperlink" Target="https://www.sciencedirect.com/science/article/pii/S0360319918335171" TargetMode="External"/><Relationship Id="rId157" Type="http://schemas.openxmlformats.org/officeDocument/2006/relationships/hyperlink" Target="https://transitionaccelerator.ca/techbrief-techno-economics-hydrogen-compression/" TargetMode="External"/><Relationship Id="rId178" Type="http://schemas.openxmlformats.org/officeDocument/2006/relationships/hyperlink" Target="https://transitionaccelerator.ca/techbrief-techno-economics-hydrogen-compression/" TargetMode="External"/><Relationship Id="rId61" Type="http://schemas.openxmlformats.org/officeDocument/2006/relationships/hyperlink" Target="https://transitionaccelerator.ca/techbrief-techno-economics-hydrogen-compression/" TargetMode="External"/><Relationship Id="rId82" Type="http://schemas.openxmlformats.org/officeDocument/2006/relationships/hyperlink" Target="https://transitionaccelerator.ca/techbrief-techno-economics-hydrogen-compression/" TargetMode="External"/><Relationship Id="rId199" Type="http://schemas.openxmlformats.org/officeDocument/2006/relationships/hyperlink" Target="https://www.sciencedirect.com/science/article/pii/S0360319918335171" TargetMode="External"/><Relationship Id="rId203" Type="http://schemas.openxmlformats.org/officeDocument/2006/relationships/hyperlink" Target="https://www.sciencedirect.com/science/article/pii/S0360319918335171" TargetMode="External"/><Relationship Id="rId19" Type="http://schemas.openxmlformats.org/officeDocument/2006/relationships/hyperlink" Target="https://iea.blob.core.windows.net/assets/29b027e5-fefc-47df-aed0-456b1bb38844/IEA-The-Future-of-Hydrogen-Assumptions-Annex_CORR.pdf" TargetMode="External"/><Relationship Id="rId224" Type="http://schemas.openxmlformats.org/officeDocument/2006/relationships/hyperlink" Target="http://kth.diva-portal.org/smash/record.jsf?aq2=%5B%5B%5D%5D&amp;c=1&amp;af=%5B%5D&amp;searchType=LIST_LATEST&amp;sortOrder2=title_sort_asc&amp;query=&amp;language=en&amp;pid=diva2%3A1637086&amp;aq=%5B%5B%5D%5D&amp;sf=all&amp;aqe=%5B%5D&amp;sortOrder=author_sort_asc&amp;onlyFullText=false&amp;noOfRows=50&amp;dswid=6871" TargetMode="External"/><Relationship Id="rId245" Type="http://schemas.openxmlformats.org/officeDocument/2006/relationships/hyperlink" Target="https://www.sciencedirect.com/science/article/pii/S0360319918335171" TargetMode="External"/><Relationship Id="rId266" Type="http://schemas.openxmlformats.org/officeDocument/2006/relationships/hyperlink" Target="https://www.sciencedirect.com/science/article/pii/B9780128194249000069" TargetMode="External"/><Relationship Id="rId30" Type="http://schemas.openxmlformats.org/officeDocument/2006/relationships/hyperlink" Target="https://www.sciencedirect.com/science/article/pii/S0306261917305457" TargetMode="External"/><Relationship Id="rId105"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126" Type="http://schemas.openxmlformats.org/officeDocument/2006/relationships/hyperlink" Target="https://transitionaccelerator.ca/techbrief-techno-economics-hydrogen-compression/" TargetMode="External"/><Relationship Id="rId147" Type="http://schemas.openxmlformats.org/officeDocument/2006/relationships/hyperlink" Target="https://www.sciencedirect.com/science/article/pii/S0360319918335171" TargetMode="External"/><Relationship Id="rId168" Type="http://schemas.openxmlformats.org/officeDocument/2006/relationships/hyperlink" Target="https://transitionaccelerator.ca/techbrief-techno-economics-hydrogenpipelines/" TargetMode="External"/><Relationship Id="rId51" Type="http://schemas.openxmlformats.org/officeDocument/2006/relationships/hyperlink" Target="https://www.sciencedirect.com/science/article/pii/S0360319918335171" TargetMode="External"/><Relationship Id="rId72" Type="http://schemas.openxmlformats.org/officeDocument/2006/relationships/hyperlink" Target="https://transitionaccelerator.ca/techbrief-techno-economics-hydrogen-compression/" TargetMode="External"/><Relationship Id="rId93" Type="http://schemas.openxmlformats.org/officeDocument/2006/relationships/hyperlink" Target="https://www.sciencedirect.com/science/article/pii/S0360319918335171" TargetMode="External"/><Relationship Id="rId189" Type="http://schemas.openxmlformats.org/officeDocument/2006/relationships/hyperlink" Target="https://www.sciencedirect.com/science/article/pii/S0360319918335171" TargetMode="External"/><Relationship Id="rId3" Type="http://schemas.openxmlformats.org/officeDocument/2006/relationships/hyperlink" Target="https://iea.blob.core.windows.net/assets/29b027e5-fefc-47df-aed0-456b1bb38844/IEA-The-Future-of-Hydrogen-Assumptions-Annex_CORR.pdf" TargetMode="External"/><Relationship Id="rId214" Type="http://schemas.openxmlformats.org/officeDocument/2006/relationships/hyperlink" Target="https://www.sciencedirect.com/science/article/pii/S0360319918335171" TargetMode="External"/><Relationship Id="rId235" Type="http://schemas.openxmlformats.org/officeDocument/2006/relationships/hyperlink" Target="https://transitionaccelerator.ca/techbrief-techno-economics-hydrogen-compression/" TargetMode="External"/><Relationship Id="rId256" Type="http://schemas.openxmlformats.org/officeDocument/2006/relationships/hyperlink" Target="https://transitionaccelerator.ca/techbrief-techno-economics-hydrogen-compression/" TargetMode="External"/><Relationship Id="rId277" Type="http://schemas.openxmlformats.org/officeDocument/2006/relationships/table" Target="../tables/table16.xml"/><Relationship Id="rId116" Type="http://schemas.openxmlformats.org/officeDocument/2006/relationships/hyperlink" Target="https://transitionaccelerator.ca/techbrief-techno-economics-hydrogen-compression/" TargetMode="External"/><Relationship Id="rId137" Type="http://schemas.openxmlformats.org/officeDocument/2006/relationships/hyperlink" Target="https://www.sciencedirect.com/science/article/pii/S0360319918335171" TargetMode="External"/><Relationship Id="rId158"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0" Type="http://schemas.openxmlformats.org/officeDocument/2006/relationships/hyperlink" Target="https://iea.blob.core.windows.net/assets/29b027e5-fefc-47df-aed0-456b1bb38844/IEA-The-Future-of-Hydrogen-Assumptions-Annex_CORR.pdf" TargetMode="External"/><Relationship Id="rId41" Type="http://schemas.openxmlformats.org/officeDocument/2006/relationships/hyperlink" Target="https://dr.lib.iastate.edu/entities/publication/0d44bb27-0317-4e6f-901c-3d709853a435" TargetMode="External"/><Relationship Id="rId62" Type="http://schemas.openxmlformats.org/officeDocument/2006/relationships/hyperlink" Target="https://www.sciencedirect.com/science/article/pii/S0360319918335171" TargetMode="External"/><Relationship Id="rId83" Type="http://schemas.openxmlformats.org/officeDocument/2006/relationships/hyperlink" Target="https://transitionaccelerator.ca/techbrief-techno-economics-hydrogen-compression/" TargetMode="External"/><Relationship Id="rId179" Type="http://schemas.openxmlformats.org/officeDocument/2006/relationships/hyperlink" Target="https://transitionaccelerator.ca/techbrief-techno-economics-hydrogen-compression/" TargetMode="External"/><Relationship Id="rId190" Type="http://schemas.openxmlformats.org/officeDocument/2006/relationships/hyperlink" Target="https://www.sciencedirect.com/science/article/pii/S0360319918335171" TargetMode="External"/><Relationship Id="rId204" Type="http://schemas.openxmlformats.org/officeDocument/2006/relationships/hyperlink" Target="https://transitionaccelerator.ca/techbrief-techno-economics-hydrogen-compression/" TargetMode="External"/><Relationship Id="rId225" Type="http://schemas.openxmlformats.org/officeDocument/2006/relationships/hyperlink" Target="https://www.energy.gov/eere/fuelcells/hydrogen-tube-trailers" TargetMode="External"/><Relationship Id="rId246" Type="http://schemas.openxmlformats.org/officeDocument/2006/relationships/hyperlink" Target="https://www.sciencedirect.com/science/article/pii/S0360319918335171" TargetMode="External"/><Relationship Id="rId267" Type="http://schemas.openxmlformats.org/officeDocument/2006/relationships/hyperlink" Target="https://www.sciencedirect.com/science/article/pii/B9780128194249000069" TargetMode="External"/><Relationship Id="rId106" Type="http://schemas.openxmlformats.org/officeDocument/2006/relationships/hyperlink" Target="https://transitionaccelerator.ca/techbrief-techno-economics-hydrogen-compression/" TargetMode="External"/><Relationship Id="rId127" Type="http://schemas.openxmlformats.org/officeDocument/2006/relationships/hyperlink" Target="https://transitionaccelerator.ca/techbrief-techno-economics-hydrogen-compression/" TargetMode="External"/><Relationship Id="rId10" Type="http://schemas.openxmlformats.org/officeDocument/2006/relationships/hyperlink" Target="https://iea.blob.core.windows.net/assets/29b027e5-fefc-47df-aed0-456b1bb38844/IEA-The-Future-of-Hydrogen-Assumptions-Annex_CORR.pdf" TargetMode="External"/><Relationship Id="rId31" Type="http://schemas.openxmlformats.org/officeDocument/2006/relationships/hyperlink" Target="https://www.sciencedirect.com/science/article/pii/S0306261917305457" TargetMode="External"/><Relationship Id="rId52" Type="http://schemas.openxmlformats.org/officeDocument/2006/relationships/hyperlink" Target="https://transitionaccelerator.ca/techbrief-techno-economics-hydrogen-compression/" TargetMode="External"/><Relationship Id="rId73" Type="http://schemas.openxmlformats.org/officeDocument/2006/relationships/hyperlink" Target="https://transitionaccelerator.ca/techbrief-techno-economics-hydrogen-compression/" TargetMode="External"/><Relationship Id="rId94" Type="http://schemas.openxmlformats.org/officeDocument/2006/relationships/hyperlink" Target="https://www.sciencedirect.com/science/article/pii/S0360319918335171" TargetMode="External"/><Relationship Id="rId148" Type="http://schemas.openxmlformats.org/officeDocument/2006/relationships/hyperlink" Target="https://www.sciencedirect.com/science/article/pii/S0360319918335171" TargetMode="External"/><Relationship Id="rId169" Type="http://schemas.openxmlformats.org/officeDocument/2006/relationships/hyperlink" Target="https://transitionaccelerator.ca/techbrief-techno-economics-hydrogen-compression/" TargetMode="External"/><Relationship Id="rId4" Type="http://schemas.openxmlformats.org/officeDocument/2006/relationships/hyperlink" Target="https://iea.blob.core.windows.net/assets/29b027e5-fefc-47df-aed0-456b1bb38844/IEA-The-Future-of-Hydrogen-Assumptions-Annex_CORR.pdf" TargetMode="External"/><Relationship Id="rId180" Type="http://schemas.openxmlformats.org/officeDocument/2006/relationships/hyperlink" Target="https://www.energy.gov/eere/fuelcells/doe-technical-targets-hydrogen-delivery" TargetMode="External"/><Relationship Id="rId215" Type="http://schemas.openxmlformats.org/officeDocument/2006/relationships/hyperlink" Target="https://www.sciencedirect.com/science/article/pii/S0360319918335171" TargetMode="External"/><Relationship Id="rId236" Type="http://schemas.openxmlformats.org/officeDocument/2006/relationships/hyperlink" Target="https://www.energy.gov/eere/fuelcells/doe-technical-targets-hydrogen-delivery" TargetMode="External"/><Relationship Id="rId257" Type="http://schemas.openxmlformats.org/officeDocument/2006/relationships/hyperlink" Target="https://litsearch.boku.ac.at/primo-explore/fulldisplay?docid=BOK_alma2169068420003345&amp;context=L&amp;vid=BOK&amp;lang=de_DE&amp;adaptor=Local%20Search%20Engine&amp;query=any,contains,Marieke%20Graf" TargetMode="External"/><Relationship Id="rId278" Type="http://schemas.openxmlformats.org/officeDocument/2006/relationships/table" Target="../tables/table17.xml"/><Relationship Id="rId42" Type="http://schemas.openxmlformats.org/officeDocument/2006/relationships/hyperlink" Target="https://books.google.pt/books/about/Fundamentals_of_Engineering_Thermodynami.html?id=uxObAwAAQBAJ&amp;redir_esc=y" TargetMode="External"/><Relationship Id="rId84" Type="http://schemas.openxmlformats.org/officeDocument/2006/relationships/hyperlink" Target="https://www.energy.gov/eere/fuelcells/doe-technical-targets-hydrogen-delivery" TargetMode="External"/><Relationship Id="rId138" Type="http://schemas.openxmlformats.org/officeDocument/2006/relationships/hyperlink" Target="https://www.sciencedirect.com/science/article/pii/S0360319918335171" TargetMode="External"/><Relationship Id="rId191" Type="http://schemas.openxmlformats.org/officeDocument/2006/relationships/hyperlink" Target="https://transitionaccelerator.ca/techbrief-techno-economics-hydrogen-compression/" TargetMode="External"/><Relationship Id="rId205" Type="http://schemas.openxmlformats.org/officeDocument/2006/relationships/hyperlink" Target="https://transitionaccelerator.ca/techbrief-techno-economics-hydrogen-compression/" TargetMode="External"/><Relationship Id="rId247" Type="http://schemas.openxmlformats.org/officeDocument/2006/relationships/hyperlink" Target="https://www.sciencedirect.com/science/article/pii/S0360319918335171" TargetMode="External"/><Relationship Id="rId107" Type="http://schemas.openxmlformats.org/officeDocument/2006/relationships/hyperlink" Target="https://www.sciencedirect.com/science/article/pii/S0360319918335171" TargetMode="External"/><Relationship Id="rId11" Type="http://schemas.openxmlformats.org/officeDocument/2006/relationships/hyperlink" Target="https://iea.blob.core.windows.net/assets/29b027e5-fefc-47df-aed0-456b1bb38844/IEA-The-Future-of-Hydrogen-Assumptions-Annex_CORR.pdf" TargetMode="External"/><Relationship Id="rId53" Type="http://schemas.openxmlformats.org/officeDocument/2006/relationships/hyperlink" Target="https://transitionaccelerator.ca/techbrief-techno-economics-hydrogen-compression/" TargetMode="External"/><Relationship Id="rId149" Type="http://schemas.openxmlformats.org/officeDocument/2006/relationships/hyperlink" Target="https://www.sciencedirect.com/science/article/pii/S0360319918335171" TargetMode="External"/><Relationship Id="rId95" Type="http://schemas.openxmlformats.org/officeDocument/2006/relationships/hyperlink" Target="https://www.sciencedirect.com/science/article/pii/S0360319918335171" TargetMode="External"/><Relationship Id="rId160" Type="http://schemas.openxmlformats.org/officeDocument/2006/relationships/hyperlink" Target="https://www.sciencedirect.com/science/article/pii/S0360319918335171" TargetMode="External"/><Relationship Id="rId216" Type="http://schemas.openxmlformats.org/officeDocument/2006/relationships/hyperlink" Target="https://www.sciencedirect.com/science/article/pii/S0360319918335171" TargetMode="External"/></Relationships>
</file>

<file path=xl/worksheets/_rels/sheet2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hyperlink" Target="https://www.statista.com/statistics/1277259/countries-europe-area/" TargetMode="External"/><Relationship Id="rId7" Type="http://schemas.openxmlformats.org/officeDocument/2006/relationships/printerSettings" Target="../printerSettings/printerSettings29.bin"/><Relationship Id="rId2" Type="http://schemas.openxmlformats.org/officeDocument/2006/relationships/hyperlink" Target="https://classic.searoutes.com/routing?speed=13&amp;panama=true&amp;suez=true&amp;kiel=true&amp;rivers=block&amp;roads=block" TargetMode="External"/><Relationship Id="rId1" Type="http://schemas.openxmlformats.org/officeDocument/2006/relationships/hyperlink" Target="https://hal.archives-ouvertes.fr/halshs-01288748v1" TargetMode="External"/><Relationship Id="rId6" Type="http://schemas.openxmlformats.org/officeDocument/2006/relationships/hyperlink" Target="https://earth.google.com/web/" TargetMode="External"/><Relationship Id="rId5" Type="http://schemas.openxmlformats.org/officeDocument/2006/relationships/hyperlink" Target="https://www.entsog.eu/maps" TargetMode="External"/><Relationship Id="rId4" Type="http://schemas.openxmlformats.org/officeDocument/2006/relationships/hyperlink" Target="https://www.statista.com/statistics/1277259/countries-europe-area/" TargetMode="External"/></Relationships>
</file>

<file path=xl/worksheets/_rels/sheet30.xml.rels><?xml version="1.0" encoding="UTF-8" standalone="yes"?>
<Relationships xmlns="http://schemas.openxmlformats.org/package/2006/relationships"><Relationship Id="rId8" Type="http://schemas.openxmlformats.org/officeDocument/2006/relationships/table" Target="../tables/table20.xml"/><Relationship Id="rId3" Type="http://schemas.openxmlformats.org/officeDocument/2006/relationships/hyperlink" Target="https://www.iea.org/reports/world-energy-model/macro-drivers" TargetMode="External"/><Relationship Id="rId7" Type="http://schemas.openxmlformats.org/officeDocument/2006/relationships/printerSettings" Target="../printerSettings/printerSettings30.bin"/><Relationship Id="rId2" Type="http://schemas.openxmlformats.org/officeDocument/2006/relationships/hyperlink" Target="https://shipandbunker.com/prices/av/global/av-g20-global-20-ports-average" TargetMode="External"/><Relationship Id="rId1" Type="http://schemas.openxmlformats.org/officeDocument/2006/relationships/hyperlink" Target="https://energy.ec.europa.eu/data-and-analysis/weekly-oil-bulletin_en" TargetMode="External"/><Relationship Id="rId6" Type="http://schemas.openxmlformats.org/officeDocument/2006/relationships/hyperlink" Target="https://www.iea.org/reports/world-energy-model/macro-drivers" TargetMode="External"/><Relationship Id="rId5" Type="http://schemas.openxmlformats.org/officeDocument/2006/relationships/hyperlink" Target="https://www.iea.org/reports/world-energy-model/macro-drivers" TargetMode="External"/><Relationship Id="rId4" Type="http://schemas.openxmlformats.org/officeDocument/2006/relationships/hyperlink" Target="https://www.iea.org/reports/world-energy-model/macro-drivers" TargetMode="External"/><Relationship Id="rId9" Type="http://schemas.openxmlformats.org/officeDocument/2006/relationships/table" Target="../tables/table21.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oolprop.org/index.html"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www.engineeringtoolbox.com/fuels-higher-calorific-values-d_169.html" TargetMode="External"/><Relationship Id="rId3"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7" Type="http://schemas.openxmlformats.org/officeDocument/2006/relationships/hyperlink" Target="https://www.umweltbundesamt.de/sites/default/files/medien/1968/publikationen/co2_emission_factors_for_fossil_fuels_correction.pdf" TargetMode="External"/><Relationship Id="rId2" Type="http://schemas.openxmlformats.org/officeDocument/2006/relationships/hyperlink" Target="https://ec.europa.eu/eurostat/databrowser/view/PRC_HICP_AIND__custom_2391515/default/table?lang=en" TargetMode="External"/><Relationship Id="rId1" Type="http://schemas.openxmlformats.org/officeDocument/2006/relationships/hyperlink" Target="https://www.umweltbundesamt.de/sites/default/files/medien/1968/publikationen/co2_emission_factors_for_fossil_fuels_correction.pdf" TargetMode="External"/><Relationship Id="rId6"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5" Type="http://schemas.openxmlformats.org/officeDocument/2006/relationships/hyperlink" Target="https://reader.elsevier.com/reader/sd/pii/S019689042031253X?token=CBF88BEF5F733295C75D2688954AB07AE5E0AB74A58F53B70874BE344AF28B90E22C9C7C7EECEED938EA352305460002&amp;originRegion=eu-west-1&amp;originCreation=20220428134712" TargetMode="External"/><Relationship Id="rId10" Type="http://schemas.openxmlformats.org/officeDocument/2006/relationships/printerSettings" Target="../printerSettings/printerSettings31.bin"/><Relationship Id="rId4" Type="http://schemas.openxmlformats.org/officeDocument/2006/relationships/hyperlink" Target="https://reader.elsevier.com/reader/sd/pii/S1876610217317277?token=3131B8A3476DBA083B0AD7212BD031764AB200AEDA3B9A94EE861483B88C1D9A30ED98CFB2FF32866520FAB535E969D7&amp;originRegion=eu-west-1&amp;originCreation=20220316144531" TargetMode="External"/><Relationship Id="rId9" Type="http://schemas.openxmlformats.org/officeDocument/2006/relationships/hyperlink" Target="https://www.ecb.europa.eu/stats/policy_and_exchange_rates/euro_reference_exchange_rates/html/index.en.html" TargetMode="External"/></Relationships>
</file>

<file path=xl/worksheets/_rels/sheet33.xml.rels><?xml version="1.0" encoding="UTF-8" standalone="yes"?>
<Relationships xmlns="http://schemas.openxmlformats.org/package/2006/relationships"><Relationship Id="rId8" Type="http://schemas.openxmlformats.org/officeDocument/2006/relationships/table" Target="../tables/table28.xml"/><Relationship Id="rId13" Type="http://schemas.openxmlformats.org/officeDocument/2006/relationships/table" Target="../tables/table33.xml"/><Relationship Id="rId18" Type="http://schemas.openxmlformats.org/officeDocument/2006/relationships/table" Target="../tables/table38.xml"/><Relationship Id="rId26" Type="http://schemas.openxmlformats.org/officeDocument/2006/relationships/table" Target="../tables/table46.xml"/><Relationship Id="rId3" Type="http://schemas.openxmlformats.org/officeDocument/2006/relationships/table" Target="../tables/table23.xml"/><Relationship Id="rId21" Type="http://schemas.openxmlformats.org/officeDocument/2006/relationships/table" Target="../tables/table41.xml"/><Relationship Id="rId7" Type="http://schemas.openxmlformats.org/officeDocument/2006/relationships/table" Target="../tables/table27.xml"/><Relationship Id="rId12" Type="http://schemas.openxmlformats.org/officeDocument/2006/relationships/table" Target="../tables/table32.xml"/><Relationship Id="rId17" Type="http://schemas.openxmlformats.org/officeDocument/2006/relationships/table" Target="../tables/table37.xml"/><Relationship Id="rId25" Type="http://schemas.openxmlformats.org/officeDocument/2006/relationships/table" Target="../tables/table45.xml"/><Relationship Id="rId2" Type="http://schemas.openxmlformats.org/officeDocument/2006/relationships/table" Target="../tables/table22.xml"/><Relationship Id="rId16" Type="http://schemas.openxmlformats.org/officeDocument/2006/relationships/table" Target="../tables/table36.xml"/><Relationship Id="rId20" Type="http://schemas.openxmlformats.org/officeDocument/2006/relationships/table" Target="../tables/table40.xml"/><Relationship Id="rId1" Type="http://schemas.openxmlformats.org/officeDocument/2006/relationships/printerSettings" Target="../printerSettings/printerSettings32.bin"/><Relationship Id="rId6" Type="http://schemas.openxmlformats.org/officeDocument/2006/relationships/table" Target="../tables/table26.xml"/><Relationship Id="rId11" Type="http://schemas.openxmlformats.org/officeDocument/2006/relationships/table" Target="../tables/table31.xml"/><Relationship Id="rId24" Type="http://schemas.openxmlformats.org/officeDocument/2006/relationships/table" Target="../tables/table44.xml"/><Relationship Id="rId5" Type="http://schemas.openxmlformats.org/officeDocument/2006/relationships/table" Target="../tables/table25.xml"/><Relationship Id="rId15" Type="http://schemas.openxmlformats.org/officeDocument/2006/relationships/table" Target="../tables/table35.xml"/><Relationship Id="rId23" Type="http://schemas.openxmlformats.org/officeDocument/2006/relationships/table" Target="../tables/table43.xml"/><Relationship Id="rId10" Type="http://schemas.openxmlformats.org/officeDocument/2006/relationships/table" Target="../tables/table30.xml"/><Relationship Id="rId19" Type="http://schemas.openxmlformats.org/officeDocument/2006/relationships/table" Target="../tables/table39.xml"/><Relationship Id="rId4" Type="http://schemas.openxmlformats.org/officeDocument/2006/relationships/table" Target="../tables/table24.xml"/><Relationship Id="rId9" Type="http://schemas.openxmlformats.org/officeDocument/2006/relationships/table" Target="../tables/table29.xml"/><Relationship Id="rId14" Type="http://schemas.openxmlformats.org/officeDocument/2006/relationships/table" Target="../tables/table34.xml"/><Relationship Id="rId22" Type="http://schemas.openxmlformats.org/officeDocument/2006/relationships/table" Target="../tables/table4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E145-A4E5-1647-8D4E-1C515ECCC9DC}">
  <dimension ref="A1:AH162"/>
  <sheetViews>
    <sheetView tabSelected="1" topLeftCell="E6" zoomScale="181" zoomScaleNormal="55" workbookViewId="0">
      <selection activeCell="A9" sqref="A9"/>
    </sheetView>
  </sheetViews>
  <sheetFormatPr baseColWidth="10" defaultColWidth="10.5" defaultRowHeight="16"/>
  <cols>
    <col min="1" max="3" width="30" style="2" bestFit="1" customWidth="1"/>
    <col min="4" max="4" width="38.5" style="2" bestFit="1" customWidth="1"/>
    <col min="5" max="5" width="22.83203125" style="2" bestFit="1" customWidth="1"/>
    <col min="6" max="6" width="26.83203125" style="2" customWidth="1"/>
    <col min="7" max="7" width="25.5" style="2" bestFit="1" customWidth="1"/>
    <col min="8" max="8" width="24.5" style="2" customWidth="1"/>
    <col min="9" max="9" width="36.5" style="2" bestFit="1" customWidth="1"/>
    <col min="10" max="10" width="27.5" style="2" bestFit="1" customWidth="1"/>
    <col min="11" max="11" width="35.83203125" style="2" bestFit="1" customWidth="1"/>
    <col min="12" max="12" width="28.5" style="2" bestFit="1" customWidth="1"/>
    <col min="13" max="13" width="11.5" style="2" customWidth="1"/>
    <col min="14" max="14" width="11.33203125" style="2" bestFit="1" customWidth="1"/>
    <col min="15" max="15" width="10.5" style="2" customWidth="1"/>
    <col min="16" max="16" width="10.5" style="2"/>
    <col min="17" max="18" width="10.5" style="2" customWidth="1"/>
    <col min="19" max="16384" width="10.5" style="2"/>
  </cols>
  <sheetData>
    <row r="1" spans="1:34" ht="17" thickBot="1">
      <c r="A1" s="930" t="s">
        <v>0</v>
      </c>
      <c r="B1" s="932"/>
      <c r="C1" s="931"/>
    </row>
    <row r="2" spans="1:34">
      <c r="A2" s="970" t="s">
        <v>1</v>
      </c>
      <c r="B2" s="971"/>
      <c r="C2" s="64" t="s">
        <v>2</v>
      </c>
      <c r="E2" s="912" t="s">
        <v>1306</v>
      </c>
      <c r="F2" s="913"/>
      <c r="G2" s="913"/>
      <c r="H2" s="914"/>
    </row>
    <row r="3" spans="1:34">
      <c r="A3" s="972" t="s">
        <v>3</v>
      </c>
      <c r="B3" s="973"/>
      <c r="C3" s="968" t="s">
        <v>4</v>
      </c>
      <c r="E3" s="915"/>
      <c r="F3" s="916"/>
      <c r="G3" s="916"/>
      <c r="H3" s="917"/>
    </row>
    <row r="4" spans="1:34">
      <c r="A4" s="974" t="s">
        <v>5</v>
      </c>
      <c r="B4" s="975"/>
      <c r="C4" s="968"/>
      <c r="E4" s="915"/>
      <c r="F4" s="916"/>
      <c r="G4" s="916"/>
      <c r="H4" s="917"/>
      <c r="W4" s="173"/>
    </row>
    <row r="5" spans="1:34" ht="19" thickBot="1">
      <c r="A5" s="976" t="s">
        <v>6</v>
      </c>
      <c r="B5" s="977"/>
      <c r="C5" s="969"/>
      <c r="E5" s="918" t="s">
        <v>1305</v>
      </c>
      <c r="F5" s="919"/>
      <c r="G5" s="919"/>
      <c r="H5" s="920"/>
    </row>
    <row r="6" spans="1:34" ht="17" thickBot="1">
      <c r="T6" s="173"/>
      <c r="U6" s="173"/>
      <c r="V6" s="173"/>
      <c r="W6" s="173"/>
    </row>
    <row r="7" spans="1:34">
      <c r="A7" s="935" t="s">
        <v>7</v>
      </c>
      <c r="B7" s="936"/>
      <c r="C7" s="932" t="s">
        <v>8</v>
      </c>
      <c r="D7" s="931"/>
      <c r="E7" s="930" t="s">
        <v>9</v>
      </c>
      <c r="F7" s="931"/>
      <c r="H7" s="161" t="s">
        <v>10</v>
      </c>
      <c r="I7" s="930" t="s">
        <v>11</v>
      </c>
      <c r="J7" s="932"/>
      <c r="K7" s="931"/>
      <c r="L7" s="70"/>
      <c r="P7" s="173"/>
      <c r="T7" s="208"/>
      <c r="U7" s="208"/>
      <c r="V7" s="208"/>
      <c r="W7" s="208"/>
    </row>
    <row r="8" spans="1:34" ht="19" customHeight="1">
      <c r="A8" s="147" t="s">
        <v>12</v>
      </c>
      <c r="B8" s="148" t="s">
        <v>13</v>
      </c>
      <c r="C8" s="179" t="s">
        <v>14</v>
      </c>
      <c r="D8" s="148" t="s">
        <v>15</v>
      </c>
      <c r="E8" s="152" t="s">
        <v>16</v>
      </c>
      <c r="F8" s="153" t="s">
        <v>17</v>
      </c>
      <c r="H8" s="162" t="s">
        <v>18</v>
      </c>
      <c r="I8" s="193" t="str">
        <f>IF(AND(E9="Ship",D87&gt;0),"STORAGE at IMPORT TERMINAL?","")</f>
        <v/>
      </c>
      <c r="J8" s="162" t="str">
        <f>IF(AND(E9="Ship",D87&gt;0),"STORAGE at EXPORT TERMINAL?","")</f>
        <v/>
      </c>
      <c r="K8" s="198" t="s">
        <v>19</v>
      </c>
      <c r="L8" s="162" t="s">
        <v>20</v>
      </c>
      <c r="P8" s="173"/>
      <c r="T8" s="208"/>
      <c r="U8" s="208"/>
      <c r="V8" s="208"/>
      <c r="W8" s="208"/>
    </row>
    <row r="9" spans="1:34" ht="17" thickBot="1">
      <c r="A9" s="374">
        <v>2022</v>
      </c>
      <c r="B9" s="375" t="s">
        <v>153</v>
      </c>
      <c r="C9" s="376" t="s">
        <v>153</v>
      </c>
      <c r="D9" s="375" t="s">
        <v>666</v>
      </c>
      <c r="E9" s="377" t="s">
        <v>24</v>
      </c>
      <c r="F9" s="378" t="s">
        <v>25</v>
      </c>
      <c r="H9" s="379" t="s">
        <v>104</v>
      </c>
      <c r="I9" s="381" t="s">
        <v>26</v>
      </c>
      <c r="J9" s="382" t="s">
        <v>26</v>
      </c>
      <c r="K9" s="382" t="s">
        <v>26</v>
      </c>
      <c r="L9" s="382" t="s">
        <v>157</v>
      </c>
      <c r="P9" s="173"/>
      <c r="T9" s="208"/>
      <c r="U9" s="208"/>
      <c r="V9" s="173"/>
      <c r="W9" s="173"/>
      <c r="X9" s="173"/>
      <c r="Y9" s="173"/>
    </row>
    <row r="10" spans="1:34">
      <c r="A10" s="181"/>
      <c r="B10" s="180"/>
      <c r="D10" s="149"/>
      <c r="E10" s="159"/>
      <c r="F10" s="160"/>
      <c r="G10" s="937" t="s">
        <v>28</v>
      </c>
      <c r="H10" s="159"/>
      <c r="I10" s="194"/>
      <c r="J10" s="194"/>
      <c r="K10" s="194"/>
      <c r="L10" s="67"/>
      <c r="P10" s="173"/>
      <c r="T10" s="208"/>
      <c r="U10" s="208"/>
      <c r="V10" s="173"/>
      <c r="W10" s="173"/>
      <c r="X10" s="173"/>
      <c r="AE10" s="208"/>
      <c r="AF10" s="173"/>
      <c r="AG10" s="173"/>
      <c r="AH10" s="173"/>
    </row>
    <row r="11" spans="1:34">
      <c r="A11" s="947" t="s">
        <v>29</v>
      </c>
      <c r="B11" s="948"/>
      <c r="C11" s="177" t="s">
        <v>30</v>
      </c>
      <c r="D11" s="279">
        <f>IF(D9="Electrolysis",Electrolysis!J4,IF(D9="SMR",SMR!J4*1000,IF(D9="Pyrolysis",Pyr!J4*1000,"")))</f>
        <v>100000</v>
      </c>
      <c r="E11" s="155" t="str">
        <f>IF(E9="Ship","Select CARRIER",IF(E9="Pipeline","New or repurposed?",""))</f>
        <v>Select CARRIER</v>
      </c>
      <c r="F11" s="148" t="str">
        <f>IF(F9="Ship","Select CARRIER",IF(F9="Pipeline","New or repurposed?",""))</f>
        <v>New or repurposed?</v>
      </c>
      <c r="G11" s="938"/>
      <c r="H11" s="164" t="str">
        <f>IF(H9="Pipeline","New or repurposed?",IF(G15="Automatic","","Select CARRIER"))</f>
        <v/>
      </c>
      <c r="I11" s="283" t="str">
        <f>IF(AND(E9="Ship",I9="Yes",D87&gt;0),"Default capacity: "&amp;ROUND(IntStorage!D23,0)&amp;" t_"&amp;HOME!E12,"")</f>
        <v/>
      </c>
      <c r="J11" s="284" t="str">
        <f>IF(AND(E9="Ship",J9="Yes",D87&gt;0),"Default capacity: "&amp;ROUND(IntStorage!D52,0)&amp;" t_"&amp;HOME!E12,"")</f>
        <v/>
      </c>
      <c r="K11" s="284" t="str">
        <f>IF(K9="Yes","Default capacity: ","")</f>
        <v xml:space="preserve">Default capacity: </v>
      </c>
      <c r="L11" s="285" t="str">
        <f>IF(L9="gH2","Default final pressure: "&amp;ROUND(B154,0)&amp;" bar","")</f>
        <v/>
      </c>
      <c r="P11" s="173"/>
      <c r="T11" s="208"/>
      <c r="U11" s="208"/>
      <c r="V11" s="173"/>
      <c r="W11" s="173"/>
      <c r="X11" s="173"/>
      <c r="AE11" s="208"/>
      <c r="AF11" s="173"/>
      <c r="AG11" s="173"/>
      <c r="AH11" s="173"/>
    </row>
    <row r="12" spans="1:34" ht="16" customHeight="1">
      <c r="A12" s="949"/>
      <c r="B12" s="950"/>
      <c r="C12" s="178" t="s">
        <v>31</v>
      </c>
      <c r="D12" s="154"/>
      <c r="E12" s="374" t="s">
        <v>157</v>
      </c>
      <c r="F12" s="375" t="s">
        <v>33</v>
      </c>
      <c r="G12" s="938"/>
      <c r="H12" s="380" t="s">
        <v>33</v>
      </c>
      <c r="I12" s="195" t="str" cm="1">
        <f t="array" aca="1" ref="I12" ca="1">IF(AND(E9="Ship",I9="Yes",D87&gt;0),HYPERLINK(CELL("address",IntStorage!D23),"Change default capacity"),"")</f>
        <v/>
      </c>
      <c r="J12" s="195" t="str" cm="1">
        <f t="array" aca="1" ref="J12" ca="1">IF(AND(E9="Ship",J9="Yes",D87&gt;0),HYPERLINK(CELL("address",IntStorage!D52),"Change default capacity"),"")</f>
        <v/>
      </c>
      <c r="K12" s="195" t="str" cm="1">
        <f t="array" aca="1" ref="K12" ca="1">IF(K9="Yes",HYPERLINK(CELL("address",FinalStorage!D27),"Change default capacity"),"")</f>
        <v>Change default capacity</v>
      </c>
      <c r="L12" s="164" t="str">
        <f>IF(L9="gH2","Override below [bar]","")</f>
        <v/>
      </c>
      <c r="P12" s="173"/>
      <c r="T12" s="208"/>
      <c r="U12" s="208"/>
      <c r="V12" s="173"/>
      <c r="W12" s="173"/>
      <c r="X12" s="173"/>
      <c r="AE12" s="208"/>
      <c r="AF12" s="173"/>
      <c r="AG12" s="173"/>
      <c r="AH12" s="173"/>
    </row>
    <row r="13" spans="1:34" ht="16" customHeight="1">
      <c r="A13" s="150" t="s">
        <v>34</v>
      </c>
      <c r="B13" s="182" t="s">
        <v>35</v>
      </c>
      <c r="D13" s="149"/>
      <c r="E13" s="159"/>
      <c r="F13" s="160"/>
      <c r="G13" s="938"/>
      <c r="H13" s="163"/>
      <c r="I13" s="196"/>
      <c r="J13" s="196"/>
      <c r="K13" s="67"/>
      <c r="L13" s="166"/>
      <c r="P13" s="173"/>
      <c r="T13" s="208"/>
      <c r="U13" s="208"/>
      <c r="V13" s="173"/>
      <c r="W13" s="173"/>
      <c r="X13" s="173"/>
      <c r="AE13" s="208"/>
      <c r="AF13" s="173"/>
      <c r="AG13" s="173"/>
      <c r="AH13" s="173"/>
    </row>
    <row r="14" spans="1:34" ht="16" customHeight="1">
      <c r="A14" s="941" t="s">
        <v>36</v>
      </c>
      <c r="B14" s="942"/>
      <c r="C14" s="178" t="str">
        <f>IF(D9="Electrolysis","Select ELECTRICITY SOURCE:",IF(D9="SMR","CARBON CAPTURE?",""))</f>
        <v>Select ELECTRICITY SOURCE:</v>
      </c>
      <c r="D14" s="378" t="s">
        <v>668</v>
      </c>
      <c r="E14" s="281" t="str">
        <f>IF(C87="",IF(B9=C9,"0 km","Route not available"),"Default distance: "&amp;ROUND($C$87,0)&amp;" km")</f>
        <v>0 km</v>
      </c>
      <c r="F14" s="282" t="str">
        <f>IF(C88="",IF(B9=C9,"0 km","Route not available"),"Default distance: "&amp;ROUND(C88,0)&amp;" km")</f>
        <v>0 km</v>
      </c>
      <c r="G14" s="938"/>
      <c r="H14" s="165" t="str">
        <f>"Default distance: "&amp;ROUND(C106,0)&amp;" km"</f>
        <v>Default distance: 200 km</v>
      </c>
      <c r="I14" s="196"/>
      <c r="J14" s="196"/>
      <c r="K14" s="164" t="str">
        <f>IF(K9="Yes","Select STORAGE TYPE","")</f>
        <v>Select STORAGE TYPE</v>
      </c>
      <c r="L14" s="196"/>
      <c r="P14" s="173"/>
      <c r="T14" s="208"/>
      <c r="U14" s="208"/>
      <c r="V14" s="173"/>
      <c r="W14" s="173"/>
      <c r="X14" s="173"/>
      <c r="AE14" s="208"/>
      <c r="AF14" s="173"/>
      <c r="AG14" s="173"/>
      <c r="AH14" s="173"/>
    </row>
    <row r="15" spans="1:34" ht="17.25" customHeight="1" thickBot="1">
      <c r="A15" s="943"/>
      <c r="B15" s="944"/>
      <c r="C15" s="178" t="str">
        <f>IF(D9="Electrolysis","Select ELECTROLYZER TYPE:",IF(D9="SMR","Select FUEL:",""))</f>
        <v>Select ELECTROLYZER TYPE:</v>
      </c>
      <c r="D15" s="378" t="s">
        <v>934</v>
      </c>
      <c r="E15" s="155" t="s">
        <v>38</v>
      </c>
      <c r="F15" s="148" t="s">
        <v>38</v>
      </c>
      <c r="G15" s="168" t="s">
        <v>39</v>
      </c>
      <c r="H15" s="164" t="s">
        <v>38</v>
      </c>
      <c r="I15" s="196"/>
      <c r="J15" s="196"/>
      <c r="K15" s="380" t="s">
        <v>149</v>
      </c>
      <c r="L15" s="196"/>
      <c r="P15" s="173"/>
      <c r="T15" s="208"/>
      <c r="U15" s="208"/>
      <c r="V15" s="173"/>
      <c r="W15" s="173"/>
      <c r="X15" s="173"/>
      <c r="AC15" s="169"/>
      <c r="AE15" s="208"/>
      <c r="AF15" s="173"/>
      <c r="AG15" s="173"/>
      <c r="AH15" s="173"/>
    </row>
    <row r="16" spans="1:34" ht="15.75" customHeight="1">
      <c r="A16" s="943"/>
      <c r="B16" s="944"/>
      <c r="D16" s="149"/>
      <c r="E16" s="156"/>
      <c r="F16" s="157"/>
      <c r="H16" s="166"/>
      <c r="I16" s="196"/>
      <c r="J16" s="196"/>
      <c r="K16" s="951" t="s">
        <v>1303</v>
      </c>
      <c r="L16" s="196"/>
      <c r="P16" s="173"/>
      <c r="T16" s="208"/>
      <c r="U16" s="208"/>
      <c r="V16" s="173"/>
      <c r="W16" s="173"/>
      <c r="X16" s="173"/>
      <c r="AC16" s="169"/>
      <c r="AE16" s="208"/>
      <c r="AF16" s="173"/>
      <c r="AG16" s="173"/>
      <c r="AH16" s="173"/>
    </row>
    <row r="17" spans="1:34">
      <c r="A17" s="943"/>
      <c r="B17" s="944"/>
      <c r="D17" s="149"/>
      <c r="E17" s="939"/>
      <c r="F17" s="940"/>
      <c r="H17" s="163"/>
      <c r="I17" s="197"/>
      <c r="J17" s="197"/>
      <c r="K17" s="952"/>
      <c r="L17" s="196"/>
      <c r="T17" s="208"/>
      <c r="U17" s="208"/>
      <c r="V17" s="173"/>
      <c r="W17" s="173"/>
      <c r="X17" s="173"/>
      <c r="AE17" s="208"/>
      <c r="AF17" s="173"/>
      <c r="AG17" s="173"/>
      <c r="AH17" s="173"/>
    </row>
    <row r="18" spans="1:34" ht="17" thickBot="1">
      <c r="A18" s="945"/>
      <c r="B18" s="946"/>
      <c r="C18" s="933" t="str" cm="1">
        <f t="array" aca="1" ref="C18" ca="1">IF(B64="Electrolysis",HYPERLINK(CELL("address",Electrolysis!A1),"Click here to change default values"),IF(B64="SMR",HYPERLINK(CELL("address",SMR!A1),"Click here to change default values"),HYPERLINK(CELL("address",Pyr!A1),"Click here to change default values")))</f>
        <v>Click here to change default values</v>
      </c>
      <c r="D18" s="934"/>
      <c r="E18" s="289" t="str" cm="1">
        <f t="array" aca="1" ref="E18" ca="1">IF(B87="Ship",HYPERLINK(CELL("address",Shipping!A1),"Change default values"),IF(B87="Pipeline",HYPERLINK(CELL("address",Pipeline!A1),"Change default values"),""))</f>
        <v>Change default values</v>
      </c>
      <c r="F18" s="288" t="str" cm="1">
        <f t="array" aca="1" ref="F18" ca="1">IF(F9="Pipeline",HYPERLINK(CELL("address",Pipeline!A1),"Change default values"),"")</f>
        <v>Change default values</v>
      </c>
      <c r="H18" s="287" t="str" cm="1">
        <f t="array" aca="1" ref="H18" ca="1">IF(B106="Truck",HYPERLINK(CELL("address",Truck!E15),"Change default values"),IF(HOME!B106="Pipeline",HYPERLINK(CELL("address",Pipeline!A83),"Change default values"),""))</f>
        <v>Change default values</v>
      </c>
      <c r="I18" s="286" t="str" cm="1">
        <f t="array" aca="1" ref="I18" ca="1">IF(AND(E9="Ship",I9="Yes",D87&gt;0),HYPERLINK(CELL("address",IntStorage!A16),"Change default values"),"")</f>
        <v/>
      </c>
      <c r="J18" s="286" t="str" cm="1">
        <f t="array" aca="1" ref="J18" ca="1">IF(AND(E9="Ship",J9="Yes",D87&gt;0),HYPERLINK(CELL("address",IntStorage!A45),"Change default values"),"")</f>
        <v/>
      </c>
      <c r="K18" s="286" t="str" cm="1">
        <f t="array" aca="1" ref="K18" ca="1">IF(K9="Yes",HYPERLINK(CELL("address",FinalStorage!A19),"Change default values"),"")</f>
        <v>Change default values</v>
      </c>
      <c r="L18" s="201"/>
      <c r="T18" s="208"/>
      <c r="U18" s="208"/>
      <c r="V18" s="173"/>
      <c r="W18" s="173"/>
      <c r="X18" s="173"/>
      <c r="AE18" s="208"/>
      <c r="AF18" s="173"/>
      <c r="AG18" s="173"/>
      <c r="AH18" s="173"/>
    </row>
    <row r="19" spans="1:34" ht="16" customHeight="1" thickBot="1">
      <c r="T19" s="208"/>
      <c r="U19" s="208"/>
      <c r="V19" s="173"/>
      <c r="W19" s="173"/>
      <c r="X19" s="173"/>
      <c r="AE19" s="208"/>
      <c r="AF19" s="173"/>
      <c r="AG19" s="173"/>
      <c r="AH19" s="173"/>
    </row>
    <row r="20" spans="1:34" ht="16" customHeight="1">
      <c r="A20" s="1017" t="s">
        <v>41</v>
      </c>
      <c r="B20" s="1011" t="str">
        <f>ROUND(B29,2)&amp;" €/kg"</f>
        <v>8,46 €/kg</v>
      </c>
      <c r="C20" s="998" t="str">
        <f>ROUND(H58,2)&amp;" €/kg"</f>
        <v>5,01 €/kg</v>
      </c>
      <c r="D20" s="999"/>
      <c r="E20" s="998" t="str">
        <f>IF(E14="Route not available",E14,ROUND(H82+H102,2)&amp;" €/kg")</f>
        <v>0,71 €/kg</v>
      </c>
      <c r="F20" s="1023"/>
      <c r="G20" s="1023"/>
      <c r="H20" s="1024"/>
      <c r="I20" s="1030" t="str">
        <f>ROUND(H116,2)&amp;" €/kg"</f>
        <v>0 €/kg</v>
      </c>
      <c r="J20" s="1031"/>
      <c r="K20" s="1014" t="str">
        <f>ROUND(H133,2)&amp;" €/kg"</f>
        <v>0,51 €/kg</v>
      </c>
      <c r="L20" s="1016" t="str">
        <f>ROUND(H157,2)&amp;" €/kg"</f>
        <v>2,23 €/kg</v>
      </c>
      <c r="M20" s="280"/>
      <c r="T20" s="208"/>
      <c r="U20" s="208"/>
      <c r="V20" s="173"/>
      <c r="W20" s="173"/>
      <c r="X20" s="173"/>
      <c r="AE20" s="208"/>
      <c r="AF20" s="173"/>
      <c r="AG20" s="173"/>
      <c r="AH20" s="173"/>
    </row>
    <row r="21" spans="1:34" ht="16" customHeight="1">
      <c r="A21" s="1018"/>
      <c r="B21" s="1012"/>
      <c r="C21" s="1000"/>
      <c r="D21" s="1001"/>
      <c r="E21" s="1000"/>
      <c r="F21" s="1025"/>
      <c r="G21" s="1025"/>
      <c r="H21" s="1026"/>
      <c r="I21" s="1032"/>
      <c r="J21" s="1033"/>
      <c r="K21" s="1015"/>
      <c r="L21" s="1015"/>
      <c r="M21" s="280"/>
      <c r="P21" s="173"/>
      <c r="T21" s="208"/>
      <c r="U21" s="208"/>
      <c r="V21" s="173"/>
      <c r="W21" s="173"/>
      <c r="X21" s="173"/>
      <c r="AE21" s="208"/>
      <c r="AF21" s="173"/>
      <c r="AG21" s="173"/>
      <c r="AH21" s="173"/>
    </row>
    <row r="22" spans="1:34" ht="16" customHeight="1">
      <c r="A22" s="1018"/>
      <c r="B22" s="1013"/>
      <c r="C22" s="1000"/>
      <c r="D22" s="1001"/>
      <c r="E22" s="1000"/>
      <c r="F22" s="1025"/>
      <c r="G22" s="1025"/>
      <c r="H22" s="1026"/>
      <c r="I22" s="1034"/>
      <c r="J22" s="1035"/>
      <c r="K22" s="1015"/>
      <c r="L22" s="1015"/>
      <c r="M22" s="280"/>
      <c r="P22" s="173"/>
      <c r="T22" s="208"/>
      <c r="U22" s="208"/>
      <c r="V22" s="173"/>
      <c r="W22" s="173"/>
      <c r="X22" s="173"/>
      <c r="AE22" s="208"/>
      <c r="AF22" s="173"/>
      <c r="AG22" s="173"/>
      <c r="AH22" s="173"/>
    </row>
    <row r="23" spans="1:34" ht="17.25" customHeight="1" thickBot="1">
      <c r="A23" s="1019"/>
      <c r="B23" s="167" t="s">
        <v>42</v>
      </c>
      <c r="C23" s="1027" t="s">
        <v>8</v>
      </c>
      <c r="D23" s="1038"/>
      <c r="E23" s="1027" t="s">
        <v>43</v>
      </c>
      <c r="F23" s="1028"/>
      <c r="G23" s="1028"/>
      <c r="H23" s="1029"/>
      <c r="I23" s="1036" t="s">
        <v>44</v>
      </c>
      <c r="J23" s="1037"/>
      <c r="K23" s="199" t="s">
        <v>45</v>
      </c>
      <c r="L23" s="199" t="s">
        <v>46</v>
      </c>
      <c r="P23" s="173"/>
      <c r="T23" s="208"/>
      <c r="U23" s="208"/>
      <c r="V23" s="173"/>
      <c r="W23" s="173"/>
      <c r="X23" s="173"/>
      <c r="AE23" s="208"/>
      <c r="AF23" s="173"/>
      <c r="AG23" s="173"/>
      <c r="AH23" s="173"/>
    </row>
    <row r="24" spans="1:34">
      <c r="U24" s="208"/>
      <c r="V24" s="173"/>
      <c r="W24" s="173"/>
      <c r="X24" s="173"/>
      <c r="AE24" s="208"/>
      <c r="AF24" s="173"/>
      <c r="AG24" s="173"/>
      <c r="AH24" s="173"/>
    </row>
    <row r="25" spans="1:34">
      <c r="A25" s="953" t="s">
        <v>47</v>
      </c>
      <c r="B25" s="953"/>
      <c r="C25" s="953"/>
      <c r="D25" s="211" t="s">
        <v>48</v>
      </c>
      <c r="E25" s="211"/>
      <c r="U25" s="208"/>
      <c r="V25" s="173"/>
      <c r="W25" s="173"/>
      <c r="X25" s="173"/>
      <c r="AE25" s="208"/>
      <c r="AF25" s="173"/>
      <c r="AG25" s="173"/>
      <c r="AH25" s="173"/>
    </row>
    <row r="26" spans="1:34">
      <c r="L26" s="173"/>
      <c r="U26" s="208"/>
      <c r="V26" s="173"/>
      <c r="W26" s="173"/>
      <c r="X26" s="173"/>
      <c r="AE26" s="208"/>
      <c r="AF26" s="173"/>
      <c r="AG26" s="173"/>
      <c r="AH26" s="173"/>
    </row>
    <row r="27" spans="1:34">
      <c r="A27" s="1020" t="s">
        <v>49</v>
      </c>
      <c r="B27" s="1021"/>
      <c r="C27" s="1021"/>
      <c r="D27" s="1021"/>
      <c r="E27" s="1021"/>
      <c r="F27" s="1021"/>
      <c r="G27" s="1021"/>
      <c r="H27" s="1021"/>
      <c r="I27" s="1021"/>
      <c r="J27" s="1021"/>
      <c r="K27" s="1021"/>
      <c r="L27" s="1021"/>
      <c r="M27" s="1021"/>
      <c r="N27" s="1022"/>
      <c r="U27" s="208"/>
      <c r="V27" s="173"/>
      <c r="W27" s="173"/>
      <c r="X27" s="173"/>
      <c r="AE27" s="208"/>
      <c r="AF27" s="173"/>
      <c r="AG27" s="173"/>
      <c r="AH27" s="173"/>
    </row>
    <row r="28" spans="1:34" ht="17" thickBot="1">
      <c r="A28" s="280"/>
      <c r="B28" s="280"/>
      <c r="C28" s="280"/>
      <c r="D28" s="280"/>
      <c r="E28" s="280"/>
      <c r="F28" s="280"/>
      <c r="G28" s="280"/>
      <c r="H28" s="280"/>
      <c r="I28" s="280"/>
      <c r="J28" s="280"/>
      <c r="K28" s="280"/>
      <c r="L28" s="280"/>
      <c r="M28" s="280"/>
      <c r="N28" s="280"/>
      <c r="U28" s="208"/>
      <c r="V28" s="173"/>
      <c r="W28" s="173"/>
      <c r="X28" s="173"/>
      <c r="AE28" s="208"/>
      <c r="AF28" s="173"/>
      <c r="AG28" s="173"/>
      <c r="AH28" s="173"/>
    </row>
    <row r="29" spans="1:34" ht="17" thickBot="1">
      <c r="A29" s="989" t="s">
        <v>50</v>
      </c>
      <c r="B29" s="992">
        <f>H58+H82+H102+H116+H133+H157</f>
        <v>8.4553994673659307</v>
      </c>
      <c r="C29" s="280"/>
      <c r="D29" s="995" t="s">
        <v>1302</v>
      </c>
      <c r="E29" s="996"/>
      <c r="F29" s="996"/>
      <c r="G29" s="996"/>
      <c r="H29" s="996"/>
      <c r="I29" s="996"/>
      <c r="J29" s="996"/>
      <c r="K29" s="996"/>
      <c r="L29" s="996"/>
      <c r="M29" s="996"/>
      <c r="N29" s="997"/>
      <c r="U29" s="208"/>
      <c r="V29" s="173"/>
      <c r="W29" s="173"/>
      <c r="X29" s="173"/>
      <c r="AE29" s="208"/>
      <c r="AF29" s="173"/>
      <c r="AG29" s="173"/>
      <c r="AH29" s="173"/>
    </row>
    <row r="30" spans="1:34">
      <c r="A30" s="990"/>
      <c r="B30" s="993"/>
      <c r="C30" s="280"/>
      <c r="D30" s="290"/>
      <c r="E30" s="291" t="s">
        <v>51</v>
      </c>
      <c r="F30" s="292">
        <v>2022</v>
      </c>
      <c r="G30" s="292">
        <v>2023</v>
      </c>
      <c r="H30" s="292">
        <v>2024</v>
      </c>
      <c r="I30" s="292">
        <v>2025</v>
      </c>
      <c r="J30" s="292">
        <v>2026</v>
      </c>
      <c r="K30" s="292">
        <v>2027</v>
      </c>
      <c r="L30" s="292">
        <v>2028</v>
      </c>
      <c r="M30" s="292">
        <v>2029</v>
      </c>
      <c r="N30" s="293">
        <v>2030</v>
      </c>
      <c r="U30" s="208"/>
      <c r="V30" s="173"/>
      <c r="W30" s="173"/>
      <c r="X30" s="173"/>
      <c r="AE30" s="208"/>
      <c r="AF30" s="173"/>
      <c r="AG30" s="173"/>
      <c r="AH30" s="173"/>
    </row>
    <row r="31" spans="1:34" ht="17" thickBot="1">
      <c r="A31" s="991"/>
      <c r="B31" s="994"/>
      <c r="C31" s="280"/>
      <c r="D31" s="294" t="s">
        <v>42</v>
      </c>
      <c r="E31" s="295">
        <f>B29</f>
        <v>8.4553994673659307</v>
      </c>
      <c r="F31" s="296">
        <f t="dataTable" ref="F31:N35" dt2D="0" dtr="1" r1="A9" ca="1"/>
        <v>8.4128496341074346</v>
      </c>
      <c r="G31" s="296">
        <v>8.0948754457800831</v>
      </c>
      <c r="H31" s="296">
        <v>7.8246664732260385</v>
      </c>
      <c r="I31" s="296">
        <v>7.5605090987212682</v>
      </c>
      <c r="J31" s="296">
        <v>7.3327818023836153</v>
      </c>
      <c r="K31" s="296">
        <v>7.1109506407020513</v>
      </c>
      <c r="L31" s="296">
        <v>6.9172252055500785</v>
      </c>
      <c r="M31" s="296">
        <v>6.7290345923781896</v>
      </c>
      <c r="N31" s="297">
        <v>6.551673111671934</v>
      </c>
      <c r="U31" s="208"/>
      <c r="V31" s="173"/>
      <c r="W31" s="173"/>
      <c r="X31" s="173"/>
      <c r="AE31" s="208"/>
      <c r="AF31" s="173"/>
      <c r="AG31" s="173"/>
      <c r="AH31" s="173"/>
    </row>
    <row r="32" spans="1:34" ht="19">
      <c r="A32" s="298" t="s">
        <v>52</v>
      </c>
      <c r="B32" s="299">
        <f>H58</f>
        <v>5.0074246960674991</v>
      </c>
      <c r="C32" s="280"/>
      <c r="D32" s="300" t="s">
        <v>8</v>
      </c>
      <c r="E32" s="295">
        <f>B32</f>
        <v>5.0074246960674991</v>
      </c>
      <c r="F32" s="296">
        <v>5.0074246960674991</v>
      </c>
      <c r="G32" s="296">
        <v>4.6939363341087308</v>
      </c>
      <c r="H32" s="296">
        <v>4.4278381610410973</v>
      </c>
      <c r="I32" s="296">
        <v>4.1677590220097809</v>
      </c>
      <c r="J32" s="296">
        <v>3.9438398412039462</v>
      </c>
      <c r="K32" s="296">
        <v>3.7257830276519268</v>
      </c>
      <c r="L32" s="296">
        <v>3.5355935472327635</v>
      </c>
      <c r="M32" s="296">
        <v>3.3508822900042472</v>
      </c>
      <c r="N32" s="297">
        <v>3.1769306426776813</v>
      </c>
      <c r="U32" s="208"/>
      <c r="V32" s="173"/>
      <c r="W32" s="173"/>
      <c r="X32" s="173"/>
      <c r="AE32" s="208"/>
      <c r="AF32" s="173"/>
      <c r="AG32" s="173"/>
      <c r="AH32" s="173"/>
    </row>
    <row r="33" spans="1:34" ht="19">
      <c r="A33" s="298" t="s">
        <v>53</v>
      </c>
      <c r="B33" s="299">
        <f>IF(E14="Route not available",E14,H86+H87+H106+H116)</f>
        <v>0.65887697604133755</v>
      </c>
      <c r="C33" s="280"/>
      <c r="D33" s="300" t="s">
        <v>54</v>
      </c>
      <c r="E33" s="295">
        <f>B33</f>
        <v>0.65887697604133755</v>
      </c>
      <c r="F33" s="296">
        <v>0.65887697604133755</v>
      </c>
      <c r="G33" s="296">
        <v>0.65887697604133755</v>
      </c>
      <c r="H33" s="296">
        <v>0.65887697604133755</v>
      </c>
      <c r="I33" s="296">
        <v>0.65887697604133755</v>
      </c>
      <c r="J33" s="296">
        <v>0.65887697604133755</v>
      </c>
      <c r="K33" s="296">
        <v>0.65887697604133755</v>
      </c>
      <c r="L33" s="296">
        <v>0.65887697604133755</v>
      </c>
      <c r="M33" s="296">
        <v>0.65887697604133755</v>
      </c>
      <c r="N33" s="297">
        <v>0.65887697604133755</v>
      </c>
      <c r="U33" s="208"/>
      <c r="V33" s="173"/>
      <c r="W33" s="173"/>
      <c r="X33" s="173"/>
      <c r="AE33" s="208"/>
      <c r="AF33" s="173"/>
      <c r="AG33" s="173"/>
      <c r="AH33" s="173"/>
    </row>
    <row r="34" spans="1:34" ht="19">
      <c r="A34" s="298" t="s">
        <v>55</v>
      </c>
      <c r="B34" s="299">
        <f>H137</f>
        <v>0.37558026102074277</v>
      </c>
      <c r="C34" s="280"/>
      <c r="D34" s="300" t="s">
        <v>56</v>
      </c>
      <c r="E34" s="295">
        <f>B34</f>
        <v>0.37558026102074277</v>
      </c>
      <c r="F34" s="296">
        <v>0.37558026102074277</v>
      </c>
      <c r="G34" s="296">
        <v>0.37109443465215919</v>
      </c>
      <c r="H34" s="296">
        <v>0.36698363516574761</v>
      </c>
      <c r="I34" s="296">
        <v>0.3629053996922938</v>
      </c>
      <c r="J34" s="296">
        <v>0.35909728416047526</v>
      </c>
      <c r="K34" s="296">
        <v>0.3553229360309304</v>
      </c>
      <c r="L34" s="296">
        <v>0.35178698129812103</v>
      </c>
      <c r="M34" s="296">
        <v>0.34830762535474807</v>
      </c>
      <c r="N34" s="297">
        <v>0.34489779197505849</v>
      </c>
      <c r="U34" s="208"/>
      <c r="V34" s="173"/>
      <c r="W34" s="173"/>
      <c r="X34" s="173"/>
      <c r="AE34" s="208"/>
      <c r="AF34" s="173"/>
      <c r="AG34" s="173"/>
      <c r="AH34" s="173"/>
    </row>
    <row r="35" spans="1:34" ht="20" thickBot="1">
      <c r="A35" s="301" t="s">
        <v>57</v>
      </c>
      <c r="B35" s="302">
        <f>H88+H89+H107+H138+H161+H162</f>
        <v>2.4135175342363522</v>
      </c>
      <c r="C35" s="303"/>
      <c r="D35" s="304" t="s">
        <v>58</v>
      </c>
      <c r="E35" s="305">
        <f>B35</f>
        <v>2.4135175342363522</v>
      </c>
      <c r="F35" s="306">
        <v>2.3709677009778565</v>
      </c>
      <c r="G35" s="306">
        <v>2.3709677009778565</v>
      </c>
      <c r="H35" s="306">
        <v>2.3709677009778565</v>
      </c>
      <c r="I35" s="306">
        <v>2.3709677009778565</v>
      </c>
      <c r="J35" s="306">
        <v>2.3709677009778565</v>
      </c>
      <c r="K35" s="306">
        <v>2.3709677009778565</v>
      </c>
      <c r="L35" s="306">
        <v>2.3709677009778565</v>
      </c>
      <c r="M35" s="306">
        <v>2.3709677009778565</v>
      </c>
      <c r="N35" s="307">
        <v>2.3709677009778565</v>
      </c>
      <c r="U35" s="208"/>
      <c r="V35" s="173"/>
      <c r="W35" s="173"/>
      <c r="X35" s="173"/>
      <c r="AE35" s="208"/>
      <c r="AF35" s="173"/>
      <c r="AG35" s="173"/>
      <c r="AH35" s="173"/>
    </row>
    <row r="36" spans="1:34" ht="17" thickBot="1">
      <c r="A36" s="280"/>
      <c r="B36" s="308">
        <f>B29-SUM(B32:B35)</f>
        <v>0</v>
      </c>
      <c r="C36" s="280"/>
      <c r="D36" s="280"/>
      <c r="E36" s="280"/>
      <c r="F36" s="280"/>
      <c r="G36" s="280"/>
      <c r="H36" s="280"/>
      <c r="I36" s="280"/>
      <c r="J36" s="280"/>
      <c r="K36" s="280"/>
      <c r="L36" s="280"/>
      <c r="M36" s="280"/>
      <c r="N36" s="280"/>
      <c r="U36" s="208"/>
      <c r="V36" s="173"/>
      <c r="W36" s="173"/>
      <c r="X36" s="173"/>
      <c r="AE36" s="208"/>
      <c r="AF36" s="173"/>
      <c r="AG36" s="173"/>
      <c r="AH36" s="173"/>
    </row>
    <row r="37" spans="1:34">
      <c r="A37" s="280"/>
      <c r="B37" s="280"/>
      <c r="C37" s="280"/>
      <c r="D37" s="280"/>
      <c r="E37" s="280"/>
      <c r="F37" s="280"/>
      <c r="G37" s="280"/>
      <c r="H37" s="280"/>
      <c r="I37" s="309"/>
      <c r="J37" s="310"/>
      <c r="K37" s="311" t="s">
        <v>59</v>
      </c>
      <c r="L37" s="280"/>
      <c r="M37" s="280"/>
      <c r="N37" s="280"/>
      <c r="U37" s="208"/>
      <c r="V37" s="173"/>
      <c r="W37" s="173"/>
      <c r="X37" s="173"/>
      <c r="AE37" s="208"/>
      <c r="AF37" s="173"/>
      <c r="AG37" s="173"/>
      <c r="AH37" s="173"/>
    </row>
    <row r="38" spans="1:34" ht="18">
      <c r="A38" s="280"/>
      <c r="B38" s="280"/>
      <c r="C38" s="280"/>
      <c r="D38" s="280"/>
      <c r="E38" s="280"/>
      <c r="F38" s="280"/>
      <c r="G38" s="280"/>
      <c r="H38" s="280"/>
      <c r="I38" s="312"/>
      <c r="J38" s="313" t="s">
        <v>60</v>
      </c>
      <c r="K38" s="314" t="s">
        <v>61</v>
      </c>
      <c r="L38" s="280"/>
      <c r="M38" s="280"/>
      <c r="N38" s="280"/>
      <c r="U38" s="208"/>
      <c r="V38" s="173"/>
      <c r="W38" s="173"/>
      <c r="X38" s="173"/>
      <c r="AE38" s="208"/>
      <c r="AF38" s="173"/>
      <c r="AG38" s="173"/>
      <c r="AH38" s="173"/>
    </row>
    <row r="39" spans="1:34">
      <c r="A39" s="280"/>
      <c r="B39" s="280"/>
      <c r="C39" s="280"/>
      <c r="D39" s="280"/>
      <c r="E39" s="280"/>
      <c r="F39" s="280"/>
      <c r="G39" s="280"/>
      <c r="H39" s="280"/>
      <c r="I39" s="315" t="s">
        <v>62</v>
      </c>
      <c r="J39" s="313" t="s">
        <v>27</v>
      </c>
      <c r="K39" s="316">
        <f>IF(HOME!D9="SMR",1.6,IF(HOME!D9="Pyrolysis",34,IF(HOME!B67="SOEC (Solid Oxide)",1,30)))</f>
        <v>30</v>
      </c>
      <c r="L39" s="280"/>
      <c r="M39" s="280"/>
      <c r="N39" s="280"/>
      <c r="U39" s="208"/>
      <c r="V39" s="173"/>
      <c r="W39" s="173"/>
      <c r="X39" s="173"/>
      <c r="AE39" s="208"/>
      <c r="AF39" s="173"/>
      <c r="AG39" s="173"/>
      <c r="AH39" s="173"/>
    </row>
    <row r="40" spans="1:34">
      <c r="A40" s="280"/>
      <c r="B40" s="280"/>
      <c r="C40" s="280"/>
      <c r="D40" s="280"/>
      <c r="E40" s="280"/>
      <c r="F40" s="280"/>
      <c r="G40" s="280"/>
      <c r="H40" s="280"/>
      <c r="I40" s="315" t="s">
        <v>63</v>
      </c>
      <c r="J40" s="317" t="str">
        <f>IF(AND(E9="Ship",I9="Yes",D87&gt;0),E12,"No storage")</f>
        <v>No storage</v>
      </c>
      <c r="K40" s="316" t="str">
        <f>IF(J40="No storage","-",1)</f>
        <v>-</v>
      </c>
      <c r="L40" s="280"/>
      <c r="M40" s="280"/>
      <c r="N40" s="280"/>
      <c r="U40" s="208"/>
      <c r="V40" s="173"/>
      <c r="W40" s="173"/>
      <c r="X40" s="173"/>
      <c r="AE40" s="208"/>
      <c r="AF40" s="173"/>
      <c r="AG40" s="173"/>
      <c r="AH40" s="173"/>
    </row>
    <row r="41" spans="1:34">
      <c r="A41" s="280"/>
      <c r="B41" s="280"/>
      <c r="C41" s="280"/>
      <c r="D41" s="280"/>
      <c r="E41" s="280"/>
      <c r="F41" s="280"/>
      <c r="G41" s="280"/>
      <c r="H41" s="280"/>
      <c r="I41" s="315" t="str">
        <f>IF(AND(E9="Pipeline",D87&gt;0),"Transmission by sea (end)","Transmission by sea")</f>
        <v>Transmission by sea</v>
      </c>
      <c r="J41" s="317" t="str">
        <f>IF(D87=0,J39,B90)</f>
        <v>gH2</v>
      </c>
      <c r="K41" s="316">
        <f>IF(D87=0,K39,IF(B87="Ship",1,INDEX(Pipeline!L30:L44,MATCH(ROUND((D87-ROUNDDOWN(D87/Pipeline!D37,0)*Pipeline!D37)/50,0)*50,Pipeline!K30:K44))))</f>
        <v>30</v>
      </c>
      <c r="L41" s="280"/>
      <c r="M41" s="280"/>
      <c r="N41" s="280"/>
      <c r="U41" s="208"/>
      <c r="V41" s="173"/>
      <c r="W41" s="173"/>
      <c r="X41" s="173"/>
      <c r="AE41" s="208"/>
      <c r="AF41" s="173"/>
      <c r="AG41" s="173"/>
      <c r="AH41" s="173"/>
    </row>
    <row r="42" spans="1:34">
      <c r="A42" s="280"/>
      <c r="B42" s="280"/>
      <c r="C42" s="280"/>
      <c r="D42" s="280"/>
      <c r="E42" s="280"/>
      <c r="F42" s="280"/>
      <c r="G42" s="280"/>
      <c r="H42" s="280"/>
      <c r="I42" s="315" t="s">
        <v>64</v>
      </c>
      <c r="J42" s="317" t="str">
        <f>IF(AND(E9="Ship",J9="Yes",D87&gt;0),E12,"No storage")</f>
        <v>No storage</v>
      </c>
      <c r="K42" s="316" t="str">
        <f>IF(J42="No storage","-",1)</f>
        <v>-</v>
      </c>
      <c r="L42" s="280"/>
      <c r="M42" s="280"/>
      <c r="N42" s="280"/>
      <c r="U42" s="208"/>
      <c r="V42" s="173"/>
      <c r="W42" s="173"/>
      <c r="X42" s="173"/>
      <c r="AE42" s="208"/>
      <c r="AF42" s="173"/>
      <c r="AG42" s="173"/>
      <c r="AH42" s="173"/>
    </row>
    <row r="43" spans="1:34">
      <c r="A43" s="280"/>
      <c r="B43" s="280"/>
      <c r="C43" s="280"/>
      <c r="D43" s="280"/>
      <c r="E43" s="280"/>
      <c r="F43" s="280"/>
      <c r="G43" s="280"/>
      <c r="H43" s="280"/>
      <c r="I43" s="315" t="str">
        <f>IF(AND(F9="Pipeline",D88&gt;0),"Transmission by land (end)","Transmission by land")</f>
        <v>Transmission by land</v>
      </c>
      <c r="J43" s="317" t="str">
        <f>IF(D88=0,IF(J42="No storage",J41,J42),B91)</f>
        <v>gH2</v>
      </c>
      <c r="K43" s="316">
        <f>IF(AND(B88="Pipeline",D88&gt;0),IF(INDEX(Pipeline!L62:L76,MATCH(ROUND((D88-ROUNDDOWN(D88/Pipeline!D69,0)*Pipeline!D69)/50,0)*50,Pipeline!K62:K76))=80,79,INDEX(Pipeline!L62:L76,MATCH(ROUND((D88-ROUNDDOWN(D88/Pipeline!D69,0)*Pipeline!D69)/50,0)*50,Pipeline!K62:K76))-1),IF(D87&gt;0,K41,K39))</f>
        <v>30</v>
      </c>
      <c r="L43" s="280"/>
      <c r="M43" s="280"/>
      <c r="N43" s="280"/>
      <c r="U43" s="208"/>
      <c r="V43" s="173"/>
      <c r="W43" s="173"/>
      <c r="X43" s="173"/>
      <c r="AE43" s="208"/>
      <c r="AF43" s="173"/>
      <c r="AG43" s="173"/>
      <c r="AH43" s="173"/>
    </row>
    <row r="44" spans="1:34">
      <c r="A44" s="280"/>
      <c r="B44" s="280"/>
      <c r="C44" s="280"/>
      <c r="D44" s="280"/>
      <c r="E44" s="280"/>
      <c r="F44" s="280"/>
      <c r="G44" s="280"/>
      <c r="H44" s="280"/>
      <c r="I44" s="315" t="s">
        <v>65</v>
      </c>
      <c r="J44" s="317" t="str">
        <f>IF(K9="Yes","gH2","No storage")</f>
        <v>gH2</v>
      </c>
      <c r="K44" s="316">
        <f>IF(K9="Yes",FinalStorage!D31,"-")</f>
        <v>150</v>
      </c>
      <c r="L44" s="280"/>
      <c r="M44" s="280"/>
      <c r="N44" s="280"/>
      <c r="U44" s="208"/>
      <c r="V44" s="173"/>
      <c r="W44" s="173"/>
      <c r="X44" s="173"/>
      <c r="AD44" s="174"/>
      <c r="AE44" s="208"/>
      <c r="AF44" s="173"/>
      <c r="AG44" s="173"/>
      <c r="AH44" s="173"/>
    </row>
    <row r="45" spans="1:34">
      <c r="A45" s="280"/>
      <c r="B45" s="280"/>
      <c r="C45" s="280"/>
      <c r="D45" s="280"/>
      <c r="E45" s="280"/>
      <c r="F45" s="280"/>
      <c r="G45" s="280"/>
      <c r="H45" s="280"/>
      <c r="I45" s="315" t="str">
        <f>IF(AND(H9="Pipeline",D106&gt;0),"Distribution (end)","Distribution")</f>
        <v>Distribution</v>
      </c>
      <c r="J45" s="318" t="str">
        <f>IF(D106=0,IF(J44="No storage",J43,J44),IF(H9="Pipeline","gH2",IF(G15="Automatic",IF(J44="No storage",J43,J44),H12)))</f>
        <v>gH2</v>
      </c>
      <c r="K45" s="316">
        <f>IF(B106="Pipeline",IF(D106=0,IF(J44="No storage",K43,K44),INDEX(Pipeline!L94:L108,MATCH(ROUND((IF(ISBLANK(H16),C106,H16)-ROUNDDOWN(IF(ISBLANK(H16),C106,H16)/Pipeline!D101,0)*Pipeline!D101)/50,0)*50,Pipeline!K94:K108))),IF(D106=0,IF(J44="No storage",K43,K44),IF(B108="gH2",'T&amp;D Data'!AC22,1)))</f>
        <v>250</v>
      </c>
      <c r="L45" s="280"/>
      <c r="M45" s="280"/>
      <c r="N45" s="280"/>
      <c r="U45" s="208"/>
      <c r="V45" s="173"/>
      <c r="W45" s="173"/>
      <c r="X45" s="173"/>
      <c r="AE45" s="208"/>
      <c r="AF45" s="173"/>
      <c r="AG45" s="173"/>
      <c r="AH45" s="173"/>
    </row>
    <row r="46" spans="1:34" ht="17" thickBot="1">
      <c r="A46" s="280"/>
      <c r="B46" s="280"/>
      <c r="C46" s="280"/>
      <c r="D46" s="280"/>
      <c r="E46" s="280"/>
      <c r="F46" s="280"/>
      <c r="G46" s="280"/>
      <c r="H46" s="280"/>
      <c r="I46" s="319" t="s">
        <v>66</v>
      </c>
      <c r="J46" s="320" t="str">
        <f>L9</f>
        <v>NH3</v>
      </c>
      <c r="K46" s="321">
        <f>H156</f>
        <v>1</v>
      </c>
      <c r="L46" s="280"/>
      <c r="M46" s="280"/>
      <c r="N46" s="280"/>
      <c r="U46" s="208"/>
      <c r="V46" s="173"/>
      <c r="W46" s="173"/>
      <c r="X46" s="173"/>
      <c r="AE46" s="208"/>
      <c r="AF46" s="173"/>
      <c r="AG46" s="173"/>
      <c r="AH46" s="173"/>
    </row>
    <row r="47" spans="1:34">
      <c r="A47" s="280"/>
      <c r="B47" s="280"/>
      <c r="C47" s="280"/>
      <c r="D47" s="280"/>
      <c r="E47" s="280"/>
      <c r="F47" s="280"/>
      <c r="G47" s="280"/>
      <c r="H47" s="280"/>
      <c r="I47" s="280"/>
      <c r="J47" s="280"/>
      <c r="K47" s="280"/>
      <c r="L47" s="280"/>
      <c r="M47" s="280"/>
      <c r="N47" s="280"/>
      <c r="U47" s="208"/>
      <c r="V47" s="173"/>
      <c r="W47" s="173"/>
      <c r="X47" s="173"/>
      <c r="AE47" s="208"/>
      <c r="AF47" s="173"/>
      <c r="AG47" s="173"/>
      <c r="AH47" s="173"/>
    </row>
    <row r="48" spans="1:34">
      <c r="A48" s="280"/>
      <c r="B48" s="280"/>
      <c r="C48" s="280"/>
      <c r="D48" s="280"/>
      <c r="E48" s="280"/>
      <c r="F48" s="280"/>
      <c r="G48" s="280"/>
      <c r="H48" s="280"/>
      <c r="I48" s="280"/>
      <c r="J48" s="280"/>
      <c r="K48" s="280"/>
      <c r="L48" s="280"/>
      <c r="M48" s="280"/>
      <c r="N48" s="280"/>
      <c r="U48" s="208"/>
      <c r="V48" s="173"/>
      <c r="W48" s="173"/>
      <c r="X48" s="173"/>
      <c r="AE48" s="208"/>
      <c r="AF48" s="173"/>
      <c r="AG48" s="173"/>
      <c r="AH48" s="173"/>
    </row>
    <row r="49" spans="1:34">
      <c r="A49" s="1002" t="s">
        <v>67</v>
      </c>
      <c r="B49" s="1003"/>
      <c r="C49" s="1003"/>
      <c r="D49" s="1003"/>
      <c r="E49" s="1003"/>
      <c r="F49" s="1003"/>
      <c r="G49" s="1003"/>
      <c r="H49" s="1003"/>
      <c r="I49" s="1003"/>
      <c r="J49" s="1003"/>
      <c r="K49" s="1003"/>
      <c r="L49" s="1003"/>
      <c r="M49" s="1003"/>
      <c r="N49" s="1004"/>
      <c r="U49" s="208"/>
      <c r="V49" s="173"/>
      <c r="W49" s="173"/>
      <c r="X49" s="173"/>
      <c r="AE49" s="208"/>
      <c r="AF49" s="173"/>
      <c r="AG49" s="173"/>
      <c r="AH49" s="173"/>
    </row>
    <row r="50" spans="1:34">
      <c r="A50" s="1005"/>
      <c r="B50" s="1006"/>
      <c r="C50" s="1006"/>
      <c r="D50" s="1006"/>
      <c r="E50" s="1006"/>
      <c r="F50" s="1006"/>
      <c r="G50" s="1006"/>
      <c r="H50" s="1006"/>
      <c r="I50" s="1006"/>
      <c r="J50" s="1006"/>
      <c r="K50" s="1006"/>
      <c r="L50" s="1006"/>
      <c r="M50" s="1006"/>
      <c r="N50" s="1007"/>
      <c r="U50" s="208"/>
      <c r="V50" s="173"/>
      <c r="W50" s="173"/>
      <c r="X50" s="173"/>
      <c r="AE50" s="208"/>
      <c r="AF50" s="173"/>
      <c r="AG50" s="173"/>
      <c r="AH50" s="173"/>
    </row>
    <row r="51" spans="1:34">
      <c r="A51" s="280"/>
      <c r="B51" s="280"/>
      <c r="C51" s="280"/>
      <c r="D51" s="280"/>
      <c r="E51" s="280"/>
      <c r="F51" s="280"/>
      <c r="G51" s="280"/>
      <c r="H51" s="280"/>
      <c r="I51" s="280"/>
      <c r="J51" s="280"/>
      <c r="K51" s="280"/>
      <c r="L51" s="280"/>
      <c r="M51" s="280"/>
      <c r="N51" s="280"/>
      <c r="U51" s="208"/>
      <c r="V51" s="173"/>
      <c r="W51" s="173"/>
      <c r="X51" s="173"/>
      <c r="AE51" s="208"/>
      <c r="AF51" s="173"/>
      <c r="AG51" s="173"/>
      <c r="AH51" s="173"/>
    </row>
    <row r="52" spans="1:34">
      <c r="A52" s="1008" t="s">
        <v>8</v>
      </c>
      <c r="B52" s="1009"/>
      <c r="C52" s="1009"/>
      <c r="D52" s="1009"/>
      <c r="E52" s="1009"/>
      <c r="F52" s="1009"/>
      <c r="G52" s="1009"/>
      <c r="H52" s="1009"/>
      <c r="I52" s="1009"/>
      <c r="J52" s="1009"/>
      <c r="K52" s="1009"/>
      <c r="L52" s="1009"/>
      <c r="M52" s="1009"/>
      <c r="N52" s="1010"/>
      <c r="U52" s="208"/>
      <c r="V52" s="173"/>
      <c r="W52" s="173"/>
      <c r="X52" s="173"/>
      <c r="AE52" s="208"/>
      <c r="AF52" s="173"/>
      <c r="AG52" s="173"/>
      <c r="AH52" s="173"/>
    </row>
    <row r="53" spans="1:34" ht="17" thickBot="1">
      <c r="A53" s="280"/>
      <c r="B53" s="280"/>
      <c r="C53" s="280"/>
      <c r="D53" s="280"/>
      <c r="E53" s="280"/>
      <c r="F53" s="280"/>
      <c r="G53" s="280"/>
      <c r="H53" s="280"/>
      <c r="I53" s="280"/>
      <c r="J53" s="280"/>
      <c r="K53" s="280"/>
      <c r="L53" s="280"/>
      <c r="M53" s="280"/>
      <c r="N53" s="280"/>
      <c r="U53" s="208"/>
      <c r="V53" s="173"/>
      <c r="W53" s="173"/>
      <c r="X53" s="173"/>
      <c r="AE53" s="208"/>
      <c r="AF53" s="173"/>
      <c r="AG53" s="173"/>
      <c r="AH53" s="173"/>
    </row>
    <row r="54" spans="1:34">
      <c r="A54" s="979" t="s">
        <v>68</v>
      </c>
      <c r="B54" s="980"/>
      <c r="C54" s="981">
        <f>IF(COUNTIF(Tb_SC[Production loc],C9)&gt;0,COUNTIF(Tb_SC[Production loc],C9),"Pathway non available")</f>
        <v>6</v>
      </c>
      <c r="D54" s="982"/>
      <c r="E54" s="280"/>
      <c r="F54" s="280"/>
      <c r="G54" s="325" t="s">
        <v>69</v>
      </c>
      <c r="H54" s="326">
        <f>A9</f>
        <v>2022</v>
      </c>
      <c r="I54" s="280"/>
      <c r="J54" s="280"/>
      <c r="K54" s="280"/>
      <c r="L54" s="280"/>
      <c r="M54" s="280"/>
      <c r="N54" s="280"/>
      <c r="U54" s="208"/>
      <c r="V54" s="173"/>
      <c r="W54" s="173"/>
      <c r="X54" s="173"/>
      <c r="AE54" s="208"/>
      <c r="AF54" s="173"/>
      <c r="AG54" s="173"/>
      <c r="AH54" s="173"/>
    </row>
    <row r="55" spans="1:34">
      <c r="A55" s="327" t="s">
        <v>70</v>
      </c>
      <c r="B55" s="328" t="str">
        <f>'Prod. Pathways'!D1</f>
        <v>Production method</v>
      </c>
      <c r="C55" s="328" t="s">
        <v>71</v>
      </c>
      <c r="D55" s="329" t="s">
        <v>72</v>
      </c>
      <c r="E55" s="280"/>
      <c r="F55" s="280"/>
      <c r="G55" s="330" t="s">
        <v>73</v>
      </c>
      <c r="H55" s="331" t="str">
        <f>C9</f>
        <v>Spain</v>
      </c>
      <c r="I55" s="280"/>
      <c r="J55" s="280"/>
      <c r="K55" s="280"/>
      <c r="L55" s="280"/>
      <c r="M55" s="280"/>
      <c r="N55" s="280"/>
      <c r="U55" s="208"/>
      <c r="V55" s="173"/>
      <c r="W55" s="173"/>
      <c r="X55" s="173"/>
      <c r="AE55" s="208"/>
      <c r="AF55" s="173"/>
      <c r="AG55" s="173"/>
      <c r="AH55" s="173"/>
    </row>
    <row r="56" spans="1:34">
      <c r="A56" s="332">
        <v>1</v>
      </c>
      <c r="B56" s="333" t="str" cm="1">
        <f t="array" ref="B56">IFERROR(INDEX(Tb_SC[],MATCH($C$9&amp;A56,Tb_SC[[Code1]:[Code1]],0),HLOOKUP(B$55,'Prod. Pathways'!$A$1:$F$2,2,FALSE)),"")</f>
        <v>Electrolysis</v>
      </c>
      <c r="C56" s="334" t="str" cm="1">
        <f t="array" ref="C56">IFERROR(IF(INDEX(Tb_SC[],MATCH($C$9&amp;A56,Tb_SC[[Code1]:[Code1]],0),HLOOKUP(C$55,'Prod. Pathways'!$A$1:$F$2,2,FALSE))=0,"",INDEX(Tb_SC[],MATCH($C$9&amp;A56,Tb_SC[[Code1]:[Code1]],0),HLOOKUP(C$55,'Prod. Pathways'!$A$1:$F$2,2,FALSE))),"")</f>
        <v>Solar</v>
      </c>
      <c r="D56" s="335" t="str" cm="1">
        <f t="array" ref="D56">IFERROR(IF(INDEX(Tb_SC[],MATCH($C$9&amp;A56,Tb_SC[[Code1]:[Code1]],0),HLOOKUP(D$55,'Prod. Pathways'!$A$1:$F$2,2,FALSE))=0,"",INDEX(Tb_SC[],MATCH($C$9&amp;A56,Tb_SC[[Code1]:[Code1]],0),HLOOKUP(D$55,'Prod. Pathways'!$A$1:$F$2,2,FALSE))),"")</f>
        <v xml:space="preserve"> </v>
      </c>
      <c r="E56" s="280"/>
      <c r="F56" s="280"/>
      <c r="G56" s="330" t="s">
        <v>74</v>
      </c>
      <c r="H56" s="331" t="str">
        <f>D9</f>
        <v>Electrolysis</v>
      </c>
      <c r="I56" s="280"/>
      <c r="J56" s="280"/>
      <c r="K56" s="280"/>
      <c r="L56" s="280"/>
      <c r="M56" s="280"/>
      <c r="N56" s="280"/>
      <c r="U56" s="208"/>
      <c r="V56" s="173"/>
      <c r="W56" s="173"/>
      <c r="X56" s="173"/>
      <c r="AE56" s="208"/>
      <c r="AF56" s="173"/>
      <c r="AG56" s="173"/>
      <c r="AH56" s="173"/>
    </row>
    <row r="57" spans="1:34" ht="17" thickBot="1">
      <c r="A57" s="336">
        <f>IFERROR(IF(A56+1&lt;=$C$54,A56+1,""),"")</f>
        <v>2</v>
      </c>
      <c r="B57" s="334" t="str" cm="1">
        <f t="array" ref="B57">IFERROR(INDEX(Tb_SC[],MATCH($C$9&amp;A57,Tb_SC[[Code1]:[Code1]],0),HLOOKUP(B$55,'Prod. Pathways'!$A$1:$F$2,2,FALSE)),"")</f>
        <v>Electrolysis</v>
      </c>
      <c r="C57" s="334" t="str" cm="1">
        <f t="array" ref="C57">IFERROR(IF(INDEX(Tb_SC[],MATCH($C$9&amp;A57,Tb_SC[[Code1]:[Code1]],0),HLOOKUP(C$55,'Prod. Pathways'!$A$1:$F$2,2,FALSE))=0,"",INDEX(Tb_SC[],MATCH($C$9&amp;A57,Tb_SC[[Code1]:[Code1]],0),HLOOKUP(C$55,'Prod. Pathways'!$A$1:$F$2,2,FALSE))),"")</f>
        <v>Onshore wind</v>
      </c>
      <c r="D57" s="335" t="str" cm="1">
        <f t="array" ref="D57">IFERROR(IF(INDEX(Tb_SC[],MATCH($C$9&amp;A57,Tb_SC[[Code1]:[Code1]],0),HLOOKUP(D$55,'Prod. Pathways'!$A$1:$F$2,2,FALSE))=0,"",INDEX(Tb_SC[],MATCH($C$9&amp;A57,Tb_SC[[Code1]:[Code1]],0),HLOOKUP(D$55,'Prod. Pathways'!$A$1:$F$2,2,FALSE))),"")</f>
        <v xml:space="preserve"> </v>
      </c>
      <c r="E57" s="280"/>
      <c r="F57" s="280"/>
      <c r="G57" s="337" t="str">
        <f>IF(B64="Electrolysis","Electricity source:","")</f>
        <v>Electricity source:</v>
      </c>
      <c r="H57" s="338" t="str">
        <f>IF(B64="Electrolysis",D14,"")</f>
        <v>Onshore wind</v>
      </c>
      <c r="I57" s="280"/>
      <c r="J57" s="280"/>
      <c r="K57" s="280"/>
      <c r="L57" s="280"/>
      <c r="M57" s="280"/>
      <c r="N57" s="280"/>
      <c r="U57" s="208"/>
      <c r="V57" s="173"/>
      <c r="W57" s="173"/>
      <c r="X57" s="173"/>
      <c r="AE57" s="208"/>
      <c r="AF57" s="173"/>
      <c r="AG57" s="173"/>
      <c r="AH57" s="173"/>
    </row>
    <row r="58" spans="1:34">
      <c r="A58" s="336">
        <f>IFERROR(IF(A57+1&lt;=$C$54,A57+1,""),"")</f>
        <v>3</v>
      </c>
      <c r="B58" s="334" t="str" cm="1">
        <f t="array" ref="B58">IFERROR(INDEX(Tb_SC[],MATCH($C$9&amp;A58,Tb_SC[[Code1]:[Code1]],0),HLOOKUP(B$55,'Prod. Pathways'!$A$1:$F$2,2,FALSE)),"")</f>
        <v>Electrolysis</v>
      </c>
      <c r="C58" s="334" t="str" cm="1">
        <f t="array" ref="C58">IFERROR(IF(INDEX(Tb_SC[],MATCH($C$9&amp;A58,Tb_SC[[Code1]:[Code1]],0),HLOOKUP(C$55,'Prod. Pathways'!$A$1:$F$2,2,FALSE))=0,"",INDEX(Tb_SC[],MATCH($C$9&amp;A58,Tb_SC[[Code1]:[Code1]],0),HLOOKUP(C$55,'Prod. Pathways'!$A$1:$F$2,2,FALSE))),"")</f>
        <v>Offshore wind</v>
      </c>
      <c r="D58" s="335" t="str" cm="1">
        <f t="array" ref="D58">IFERROR(IF(INDEX(Tb_SC[],MATCH($C$9&amp;A58,Tb_SC[[Code1]:[Code1]],0),HLOOKUP(D$55,'Prod. Pathways'!$A$1:$F$2,2,FALSE))=0,"",INDEX(Tb_SC[],MATCH($C$9&amp;A58,Tb_SC[[Code1]:[Code1]],0),HLOOKUP(D$55,'Prod. Pathways'!$A$1:$F$2,2,FALSE))),"")</f>
        <v xml:space="preserve"> </v>
      </c>
      <c r="E58" s="339"/>
      <c r="F58" s="280"/>
      <c r="G58" s="924" t="s">
        <v>76</v>
      </c>
      <c r="H58" s="927">
        <f>IFERROR(IF(H56="Electrolysis",Electrolysis!A5,IF(H56="SMR",SMR!A5,IF(H56="Pyrolysis",Pyr!A5,))),"Error")</f>
        <v>5.0074246960674991</v>
      </c>
      <c r="I58" s="280"/>
      <c r="J58" s="280"/>
      <c r="K58" s="280"/>
      <c r="L58" s="280"/>
      <c r="M58" s="280"/>
      <c r="N58" s="280"/>
      <c r="U58" s="208"/>
      <c r="V58" s="173"/>
      <c r="W58" s="173"/>
      <c r="X58" s="173"/>
      <c r="AE58" s="208"/>
      <c r="AF58" s="173"/>
      <c r="AG58" s="173"/>
      <c r="AH58" s="173"/>
    </row>
    <row r="59" spans="1:34">
      <c r="A59" s="336">
        <f>IFERROR(IF(A58+1&lt;=$C$54,A58+1,""),"")</f>
        <v>4</v>
      </c>
      <c r="B59" s="334" t="str" cm="1">
        <f t="array" ref="B59">IFERROR(INDEX(Tb_SC[],MATCH($C$9&amp;A59,Tb_SC[[Code1]:[Code1]],0),HLOOKUP(B$55,'Prod. Pathways'!$A$1:$F$2,2,FALSE)),"")</f>
        <v>Electrolysis</v>
      </c>
      <c r="C59" s="334" t="str" cm="1">
        <f t="array" ref="C59">IFERROR(IF(INDEX(Tb_SC[],MATCH($C$9&amp;A59,Tb_SC[[Code1]:[Code1]],0),HLOOKUP(C$55,'Prod. Pathways'!$A$1:$F$2,2,FALSE))=0,"",INDEX(Tb_SC[],MATCH($C$9&amp;A59,Tb_SC[[Code1]:[Code1]],0),HLOOKUP(C$55,'Prod. Pathways'!$A$1:$F$2,2,FALSE))),"")</f>
        <v>Grid</v>
      </c>
      <c r="D59" s="335" t="str" cm="1">
        <f t="array" ref="D59">IFERROR(IF(INDEX(Tb_SC[],MATCH($C$9&amp;A59,Tb_SC[[Code1]:[Code1]],0),HLOOKUP(D$55,'Prod. Pathways'!$A$1:$F$2,2,FALSE))=0,"",INDEX(Tb_SC[],MATCH($C$9&amp;A59,Tb_SC[[Code1]:[Code1]],0),HLOOKUP(D$55,'Prod. Pathways'!$A$1:$F$2,2,FALSE))),"")</f>
        <v xml:space="preserve"> </v>
      </c>
      <c r="E59" s="340"/>
      <c r="F59" s="280"/>
      <c r="G59" s="925"/>
      <c r="H59" s="928"/>
      <c r="I59" s="280"/>
      <c r="J59" s="280"/>
      <c r="K59" s="280"/>
      <c r="L59" s="280"/>
      <c r="M59" s="280"/>
      <c r="N59" s="280"/>
      <c r="U59" s="208"/>
      <c r="V59" s="173"/>
      <c r="W59" s="173"/>
      <c r="X59" s="173"/>
      <c r="AE59" s="208"/>
      <c r="AF59" s="173"/>
      <c r="AG59" s="173"/>
      <c r="AH59" s="173"/>
    </row>
    <row r="60" spans="1:34" ht="17" thickBot="1">
      <c r="A60" s="336">
        <f>IFERROR(IF(A59+1&lt;=$C$54,A59+1,""),"")</f>
        <v>5</v>
      </c>
      <c r="B60" s="334" t="str" cm="1">
        <f t="array" ref="B60">IFERROR(INDEX(Tb_SC[],MATCH($C$9&amp;A60,Tb_SC[[Code1]:[Code1]],0),HLOOKUP(B$55,'Prod. Pathways'!$A$1:$F$2,2,FALSE)),"")</f>
        <v>SMR</v>
      </c>
      <c r="C60" s="334" t="str" cm="1">
        <f t="array" ref="C60">IFERROR(IF(INDEX(Tb_SC[],MATCH($C$9&amp;A60,Tb_SC[[Code1]:[Code1]],0),HLOOKUP(C$55,'Prod. Pathways'!$A$1:$F$2,2,FALSE))=0,"",INDEX(Tb_SC[],MATCH($C$9&amp;A60,Tb_SC[[Code1]:[Code1]],0),HLOOKUP(C$55,'Prod. Pathways'!$A$1:$F$2,2,FALSE))),"")</f>
        <v>-</v>
      </c>
      <c r="D60" s="335" t="str" cm="1">
        <f t="array" ref="D60">IFERROR(IF(INDEX(Tb_SC[],MATCH($C$9&amp;A60,Tb_SC[[Code1]:[Code1]],0),HLOOKUP(D$55,'Prod. Pathways'!$A$1:$F$2,2,FALSE))=0,"",INDEX(Tb_SC[],MATCH($C$9&amp;A60,Tb_SC[[Code1]:[Code1]],0),HLOOKUP(D$55,'Prod. Pathways'!$A$1:$F$2,2,FALSE))),"")</f>
        <v xml:space="preserve"> </v>
      </c>
      <c r="E60" s="340"/>
      <c r="F60" s="280"/>
      <c r="G60" s="926"/>
      <c r="H60" s="929"/>
      <c r="I60" s="280"/>
      <c r="J60" s="280"/>
      <c r="K60" s="280"/>
      <c r="L60" s="280"/>
      <c r="M60" s="280"/>
      <c r="N60" s="280"/>
      <c r="U60" s="208"/>
      <c r="V60" s="173"/>
      <c r="W60" s="173"/>
      <c r="X60" s="173"/>
      <c r="AE60" s="208"/>
      <c r="AF60" s="173"/>
      <c r="AG60" s="173"/>
      <c r="AH60" s="173"/>
    </row>
    <row r="61" spans="1:34">
      <c r="A61" s="336">
        <f>IFERROR(IF(A60+1&lt;=$C$54,A60+1,""),"")</f>
        <v>6</v>
      </c>
      <c r="B61" s="334" t="str" cm="1">
        <f t="array" ref="B61">IFERROR(INDEX(Tb_SC[],MATCH($C$9&amp;A61,Tb_SC[[Code1]:[Code1]],0),HLOOKUP(B$55,'Prod. Pathways'!$A$1:$F$2,2,FALSE)),"")</f>
        <v>Pyrolysis</v>
      </c>
      <c r="C61" s="334" t="str" cm="1">
        <f t="array" ref="C61">IFERROR(IF(INDEX(Tb_SC[],MATCH($C$9&amp;A61,Tb_SC[[Code1]:[Code1]],0),HLOOKUP(C$55,'Prod. Pathways'!$A$1:$F$2,2,FALSE))=0,"",INDEX(Tb_SC[],MATCH($C$9&amp;A61,Tb_SC[[Code1]:[Code1]],0),HLOOKUP(C$55,'Prod. Pathways'!$A$1:$F$2,2,FALSE))),"")</f>
        <v>-</v>
      </c>
      <c r="D61" s="335" t="str" cm="1">
        <f t="array" ref="D61">IFERROR(IF(INDEX(Tb_SC[],MATCH($C$9&amp;A61,Tb_SC[[Code1]:[Code1]],0),HLOOKUP(D$55,'Prod. Pathways'!$A$1:$F$2,2,FALSE))=0,"",INDEX(Tb_SC[],MATCH($C$9&amp;A61,Tb_SC[[Code1]:[Code1]],0),HLOOKUP(D$55,'Prod. Pathways'!$A$1:$F$2,2,FALSE))),"")</f>
        <v xml:space="preserve"> </v>
      </c>
      <c r="E61" s="340"/>
      <c r="F61" s="280"/>
      <c r="G61" s="954" t="s">
        <v>77</v>
      </c>
      <c r="H61" s="955"/>
      <c r="I61" s="280"/>
      <c r="J61" s="280"/>
      <c r="K61" s="280"/>
      <c r="L61" s="280"/>
      <c r="M61" s="280"/>
      <c r="N61" s="280"/>
      <c r="U61" s="208"/>
      <c r="V61" s="173"/>
      <c r="W61" s="173"/>
      <c r="X61" s="173"/>
      <c r="AE61" s="208"/>
      <c r="AF61" s="173"/>
      <c r="AG61" s="173"/>
      <c r="AH61" s="173"/>
    </row>
    <row r="62" spans="1:34">
      <c r="A62" s="280"/>
      <c r="B62" s="280"/>
      <c r="C62" s="280"/>
      <c r="D62" s="280"/>
      <c r="E62" s="340"/>
      <c r="F62" s="280"/>
      <c r="G62" s="341" t="str">
        <f>IF(B64="SMR","Plant [€/kg]",IF(B64="Pyrolysis","Plant [€/kg]","Electrolyser [€/kg]"))</f>
        <v>Electrolyser [€/kg]</v>
      </c>
      <c r="H62" s="342">
        <f>IFERROR(IF($B$64="SMR",SMR!D64,IF($B$64="Pyrolysis",Pyr!D37,Electrolysis!D62)),"n/a")</f>
        <v>1.6634270690879229</v>
      </c>
      <c r="I62" s="280"/>
      <c r="J62" s="280"/>
      <c r="K62" s="343">
        <f>IFERROR(H62/$H$58,0)</f>
        <v>0.33219212869926307</v>
      </c>
      <c r="L62" s="280"/>
      <c r="M62" s="280"/>
      <c r="N62" s="280"/>
    </row>
    <row r="63" spans="1:34">
      <c r="A63" s="956" t="s">
        <v>78</v>
      </c>
      <c r="B63" s="957"/>
      <c r="C63" s="958"/>
      <c r="D63" s="280"/>
      <c r="E63" s="340"/>
      <c r="F63" s="280"/>
      <c r="G63" s="341" t="str">
        <f>IF(B64="SMR","Gas [€/kg]",IF(B64="Pyrolysis","Gas [€/kg]","Electricity [€/kg]"))</f>
        <v>Electricity [€/kg]</v>
      </c>
      <c r="H63" s="342">
        <f>IFERROR(IF($B$64="SMR",SMR!D65,IF($B$64="Pyrolysis",Pyr!D38,Electrolysis!D61)),"n/a")</f>
        <v>3.3439976269795761</v>
      </c>
      <c r="I63" s="280"/>
      <c r="J63" s="280"/>
      <c r="K63" s="343">
        <f>IFERROR(H63/$H$58,0)</f>
        <v>0.66780787130073693</v>
      </c>
      <c r="L63" s="280"/>
      <c r="M63" s="280"/>
      <c r="N63" s="280"/>
    </row>
    <row r="64" spans="1:34">
      <c r="A64" s="322" t="s">
        <v>79</v>
      </c>
      <c r="B64" s="335" t="str">
        <f>D9</f>
        <v>Electrolysis</v>
      </c>
      <c r="C64" s="983" t="str" cm="1">
        <f t="array" aca="1" ref="C64" ca="1">IF(B64="Electrolysis",HYPERLINK(CELL("address",Electrolysis!A1),"Change default values"),IF(B64="SMR",HYPERLINK(CELL("address",SMR!A1),"Change default values"),HYPERLINK(CELL("address",Pyr!A1),"Change default values")))</f>
        <v>Change default values</v>
      </c>
      <c r="D64" s="280"/>
      <c r="E64" s="280"/>
      <c r="F64" s="280"/>
      <c r="G64" s="341" t="str">
        <f>IF(B64="SMR","CO2 ETS [€/kg]",IF(B64="Pyrolysis","Solid carbon [€/kg]",""))</f>
        <v/>
      </c>
      <c r="H64" s="342" t="str">
        <f>IF($B$64="SMR",SMR!D66,IF($B$64="Pyrolysis",Pyr!D39,""))</f>
        <v/>
      </c>
      <c r="I64" s="280"/>
      <c r="J64" s="280"/>
      <c r="K64" s="343">
        <f>IFERROR(H64/$H$58,0)</f>
        <v>0</v>
      </c>
      <c r="L64" s="280"/>
      <c r="M64" s="280"/>
      <c r="N64" s="280"/>
    </row>
    <row r="65" spans="1:20" ht="17" thickBot="1">
      <c r="A65" s="322" t="str">
        <f>IF(B64="Electrolysis","Electricity source:","")</f>
        <v>Electricity source:</v>
      </c>
      <c r="B65" s="335" t="str">
        <f>IF(B64="Electrolysis",D14,"")</f>
        <v>Onshore wind</v>
      </c>
      <c r="C65" s="984"/>
      <c r="D65" s="280"/>
      <c r="E65" s="280"/>
      <c r="F65" s="280"/>
      <c r="G65" s="344" t="str">
        <f>IF(B64="SMR","CO2 T&amp;S [€/kg]",IF(B64="Pyrolysis","",""))</f>
        <v/>
      </c>
      <c r="H65" s="345" t="str">
        <f>IF($B$64="SMR",SMR!D67,IF($B$64="Pyrolysis",Pyr!D40,""))</f>
        <v/>
      </c>
      <c r="I65" s="280"/>
      <c r="J65" s="280"/>
      <c r="K65" s="343">
        <f>IFERROR(H65/$H$58,0)</f>
        <v>0</v>
      </c>
      <c r="L65" s="280"/>
      <c r="M65" s="280"/>
      <c r="N65" s="280"/>
    </row>
    <row r="66" spans="1:20">
      <c r="A66" s="322" t="str">
        <f>IF(B64="SMR","Carbon capture?","")</f>
        <v/>
      </c>
      <c r="B66" s="335" t="str">
        <f>IF(B64="SMR",SMR!D12,"")</f>
        <v/>
      </c>
      <c r="C66" s="984"/>
      <c r="D66" s="280"/>
      <c r="E66" s="280"/>
      <c r="F66" s="280"/>
      <c r="G66" s="280"/>
      <c r="H66" s="280"/>
      <c r="I66" s="280"/>
      <c r="J66" s="280"/>
      <c r="K66" s="280"/>
      <c r="L66" s="280"/>
      <c r="M66" s="280"/>
      <c r="N66" s="280"/>
    </row>
    <row r="67" spans="1:20">
      <c r="A67" s="322" t="str">
        <f>IF(B64="Electrolysis","Electrolyser type:",IF(B64="SMR","Fuel:",""))</f>
        <v>Electrolyser type:</v>
      </c>
      <c r="B67" s="335" t="str">
        <f>IF(B64="Electrolysis",Electrolysis!D13&amp;" "&amp;IF(Electrolysis!D13="AEL","(Alkaline)",IF(Electrolysis!D13="PEM","(Proton Exchange Membrane)",IF(Electrolysis!D13="SOEC","(Solid Oxide)",""))),IF(B64="SMR",SMR!D13,""))</f>
        <v>PEM (Proton Exchange Membrane)</v>
      </c>
      <c r="C67" s="984"/>
      <c r="D67" s="280"/>
      <c r="E67" s="280"/>
      <c r="F67" s="280"/>
      <c r="G67" s="280"/>
      <c r="H67" s="280"/>
      <c r="I67" s="280"/>
      <c r="J67" s="280"/>
      <c r="K67" s="280"/>
      <c r="L67" s="280"/>
      <c r="M67" s="280"/>
      <c r="N67" s="280"/>
    </row>
    <row r="68" spans="1:20">
      <c r="A68" s="322" t="s">
        <v>80</v>
      </c>
      <c r="B68" s="324">
        <f>IF(ISBLANK(D12),D11,D12)</f>
        <v>100000</v>
      </c>
      <c r="C68" s="984"/>
      <c r="D68" s="280"/>
      <c r="E68" s="280"/>
      <c r="F68" s="280"/>
      <c r="G68" s="280"/>
      <c r="H68" s="280"/>
      <c r="I68" s="280"/>
      <c r="J68" s="280"/>
      <c r="K68" s="280"/>
      <c r="L68" s="280"/>
      <c r="M68" s="280"/>
      <c r="N68" s="280"/>
    </row>
    <row r="69" spans="1:20">
      <c r="A69" s="322" t="s">
        <v>81</v>
      </c>
      <c r="B69" s="346">
        <f>ROUND(IF(HOME!B64="Electrolysis",Electrolysis!J6*Electrolysis!D50*8760*Electrolysis!D28/'General values'!C3,IF(HOME!B64="SMR",SMR!J6*1000*SMR!D32*8760/'General values'!C3,IF(HOME!B64="Pyrolysis",Pyr!J4*1000*Pyr!D20*8760/'General values'!C3,0)))/10^3,0)</f>
        <v>6325</v>
      </c>
      <c r="C69" s="985"/>
      <c r="D69" s="280"/>
      <c r="E69" s="280"/>
      <c r="F69" s="280"/>
      <c r="G69" s="280"/>
      <c r="H69" s="280"/>
      <c r="I69" s="280"/>
      <c r="J69" s="280"/>
      <c r="K69" s="280"/>
      <c r="L69" s="280"/>
      <c r="M69" s="280"/>
      <c r="N69" s="280"/>
    </row>
    <row r="70" spans="1:20">
      <c r="A70" s="280"/>
      <c r="B70" s="280"/>
      <c r="C70" s="280"/>
      <c r="D70" s="280"/>
      <c r="E70" s="280"/>
      <c r="F70" s="280"/>
      <c r="G70" s="280"/>
      <c r="H70" s="280"/>
      <c r="I70" s="280"/>
      <c r="J70" s="280"/>
      <c r="K70" s="280"/>
      <c r="L70" s="280"/>
      <c r="M70" s="280"/>
      <c r="N70" s="347"/>
      <c r="O70" s="172"/>
      <c r="P70" s="172"/>
      <c r="Q70" s="172"/>
      <c r="R70" s="172"/>
      <c r="S70" s="172"/>
      <c r="T70" s="172"/>
    </row>
    <row r="71" spans="1:20">
      <c r="A71" s="280"/>
      <c r="B71" s="280"/>
      <c r="C71" s="280"/>
      <c r="D71" s="280"/>
      <c r="E71" s="280"/>
      <c r="F71" s="280"/>
      <c r="G71" s="280"/>
      <c r="H71" s="280"/>
      <c r="I71" s="280"/>
      <c r="J71" s="280"/>
      <c r="K71" s="280"/>
      <c r="L71" s="280"/>
      <c r="M71" s="280"/>
      <c r="N71" s="347"/>
      <c r="O71" s="172"/>
      <c r="P71" s="172"/>
      <c r="Q71" s="172"/>
      <c r="R71" s="172"/>
      <c r="S71" s="172"/>
      <c r="T71" s="172"/>
    </row>
    <row r="72" spans="1:20">
      <c r="A72" s="280"/>
      <c r="B72" s="280"/>
      <c r="C72" s="280"/>
      <c r="D72" s="280"/>
      <c r="E72" s="280"/>
      <c r="F72" s="280"/>
      <c r="G72" s="280"/>
      <c r="H72" s="280"/>
      <c r="I72" s="280"/>
      <c r="J72" s="280"/>
      <c r="K72" s="280"/>
      <c r="L72" s="280"/>
      <c r="M72" s="280"/>
      <c r="N72" s="347"/>
      <c r="O72" s="172"/>
      <c r="P72" s="172"/>
      <c r="Q72" s="172"/>
      <c r="R72" s="172"/>
      <c r="S72" s="172"/>
      <c r="T72" s="172"/>
    </row>
    <row r="73" spans="1:20">
      <c r="A73" s="280"/>
      <c r="B73" s="280"/>
      <c r="C73" s="280"/>
      <c r="D73" s="280"/>
      <c r="E73" s="280"/>
      <c r="F73" s="280"/>
      <c r="G73" s="280"/>
      <c r="H73" s="280"/>
      <c r="I73" s="280"/>
      <c r="J73" s="280"/>
      <c r="K73" s="280"/>
      <c r="L73" s="280"/>
      <c r="M73" s="280"/>
      <c r="N73" s="280"/>
    </row>
    <row r="74" spans="1:20">
      <c r="A74" s="961" t="s">
        <v>82</v>
      </c>
      <c r="B74" s="962"/>
      <c r="C74" s="962"/>
      <c r="D74" s="962"/>
      <c r="E74" s="962"/>
      <c r="F74" s="962"/>
      <c r="G74" s="962"/>
      <c r="H74" s="962"/>
      <c r="I74" s="962"/>
      <c r="J74" s="962"/>
      <c r="K74" s="962"/>
      <c r="L74" s="962"/>
      <c r="M74" s="962"/>
      <c r="N74" s="963"/>
    </row>
    <row r="75" spans="1:20">
      <c r="A75" s="964" t="s">
        <v>83</v>
      </c>
      <c r="B75" s="965"/>
      <c r="C75" s="965"/>
      <c r="D75" s="965"/>
      <c r="E75" s="965"/>
      <c r="F75" s="965"/>
      <c r="G75" s="965"/>
      <c r="H75" s="965"/>
      <c r="I75" s="965"/>
      <c r="J75" s="965"/>
      <c r="K75" s="965"/>
      <c r="L75" s="965"/>
      <c r="M75" s="965"/>
      <c r="N75" s="966"/>
    </row>
    <row r="76" spans="1:20" ht="17" thickBot="1">
      <c r="A76" s="280"/>
      <c r="B76" s="280"/>
      <c r="C76" s="280"/>
      <c r="D76" s="280"/>
      <c r="E76" s="280"/>
      <c r="F76" s="280"/>
      <c r="G76" s="280"/>
      <c r="H76" s="280"/>
      <c r="I76" s="280"/>
      <c r="J76" s="280"/>
      <c r="K76" s="280"/>
      <c r="L76" s="280"/>
      <c r="M76" s="280"/>
      <c r="N76" s="280"/>
    </row>
    <row r="77" spans="1:20">
      <c r="A77" s="322" t="s">
        <v>84</v>
      </c>
      <c r="B77" s="348" t="str">
        <f>B9</f>
        <v>Spain</v>
      </c>
      <c r="C77" s="349" t="s">
        <v>85</v>
      </c>
      <c r="D77" s="280"/>
      <c r="E77" s="280"/>
      <c r="F77" s="280"/>
      <c r="G77" s="325" t="s">
        <v>69</v>
      </c>
      <c r="H77" s="326">
        <f>A9</f>
        <v>2022</v>
      </c>
      <c r="I77" s="280"/>
      <c r="J77" s="280"/>
      <c r="K77" s="280"/>
      <c r="L77" s="280"/>
      <c r="M77" s="280"/>
      <c r="N77" s="280"/>
    </row>
    <row r="78" spans="1:20">
      <c r="A78" s="280"/>
      <c r="B78" s="280"/>
      <c r="C78" s="280"/>
      <c r="D78" s="280"/>
      <c r="E78" s="280"/>
      <c r="F78" s="280"/>
      <c r="G78" s="330" t="s">
        <v>73</v>
      </c>
      <c r="H78" s="331" t="str">
        <f>C9</f>
        <v>Spain</v>
      </c>
      <c r="I78" s="280"/>
      <c r="J78" s="280"/>
      <c r="K78" s="280"/>
      <c r="L78" s="280"/>
      <c r="M78" s="280"/>
      <c r="N78" s="280"/>
    </row>
    <row r="79" spans="1:20">
      <c r="A79" s="979" t="s">
        <v>86</v>
      </c>
      <c r="B79" s="980"/>
      <c r="C79" s="981" t="str">
        <f>IF(COUNTIF(Tb_SR[Supply route],$C$9&amp;"("&amp;$B$65&amp;") - "&amp;$B$77)&gt;0,COUNTIF(Tb_SR[Supply route],$C$9&amp;"("&amp;$B$65&amp;") - "&amp;$B$77),"Route non available")</f>
        <v>Route non available</v>
      </c>
      <c r="D79" s="982"/>
      <c r="E79" s="280"/>
      <c r="F79" s="280"/>
      <c r="G79" s="330" t="s">
        <v>87</v>
      </c>
      <c r="H79" s="331" t="str">
        <f>B9</f>
        <v>Spain</v>
      </c>
      <c r="I79" s="280"/>
      <c r="J79" s="280"/>
      <c r="K79" s="280"/>
      <c r="L79" s="280"/>
      <c r="M79" s="280"/>
      <c r="N79" s="280"/>
      <c r="O79" s="173"/>
    </row>
    <row r="80" spans="1:20">
      <c r="A80" s="327" t="s">
        <v>70</v>
      </c>
      <c r="B80" s="328" t="s">
        <v>88</v>
      </c>
      <c r="C80" s="328" t="s">
        <v>89</v>
      </c>
      <c r="D80" s="329" t="s">
        <v>72</v>
      </c>
      <c r="E80" s="280"/>
      <c r="F80" s="280"/>
      <c r="G80" s="330" t="s">
        <v>90</v>
      </c>
      <c r="H80" s="331" t="str">
        <f>IFERROR(ROUND(IF(ISBLANK(E16),C87,E16)+IF(ISBLANK(F16),C88,F16),0)&amp;" km","n/a")</f>
        <v>n/a</v>
      </c>
      <c r="I80" s="280"/>
      <c r="J80" s="280"/>
      <c r="K80" s="280"/>
      <c r="L80" s="280"/>
      <c r="M80" s="280"/>
      <c r="N80" s="280"/>
    </row>
    <row r="81" spans="1:14" ht="17" thickBot="1">
      <c r="A81" s="332">
        <v>1</v>
      </c>
      <c r="B81" s="333" t="str" cm="1">
        <f t="array" ref="B81">IFERROR(INDEX(Tb_SR[],MATCH($C$9&amp;"("&amp;$B$65&amp;")"&amp;$B$77&amp;$A81,Tb_SR[[Code1]:[Code1]],0),HLOOKUP(B$80,'Supply routes'!$A$6:$K$7,2,FALSE)),"")</f>
        <v/>
      </c>
      <c r="C81" s="350" t="str" cm="1">
        <f t="array" ref="C81">IFERROR(INDEX(Tb_SR[],MATCH($C$9&amp;"("&amp;$B$65&amp;")"&amp;$B$77&amp;$A81,Tb_SR[[Code1]:[Code1]],0),HLOOKUP(C$80,'Supply routes'!$A$6:$K$7,2,FALSE)),"")</f>
        <v/>
      </c>
      <c r="D81" s="335" t="str" cm="1">
        <f t="array" ref="D81">IFERROR(INDEX(Tb_SR[],MATCH($C$9&amp;"("&amp;$B$65&amp;")"&amp;$B$77&amp;$A81,Tb_SR[[Code1]:[Code1]],0),HLOOKUP(D$80,'Supply routes'!$A$6:$K$7,2,FALSE)),"")</f>
        <v/>
      </c>
      <c r="E81" s="280"/>
      <c r="F81" s="280"/>
      <c r="G81" s="337" t="s">
        <v>91</v>
      </c>
      <c r="H81" s="338" t="str">
        <f>IF(OR(B90=B91,B91=""),B90,B90&amp;" &amp; "&amp;B91)</f>
        <v>NH3 &amp; gH2</v>
      </c>
      <c r="I81" s="280"/>
      <c r="J81" s="280"/>
      <c r="K81" s="280"/>
      <c r="L81" s="280"/>
      <c r="M81" s="280"/>
      <c r="N81" s="280"/>
    </row>
    <row r="82" spans="1:14">
      <c r="A82" s="336">
        <f>IFERROR(IF(A81+1&lt;=$C$79,A81+1,""),"")</f>
        <v>2</v>
      </c>
      <c r="B82" s="333" t="str" cm="1">
        <f t="array" ref="B82">IFERROR(INDEX(Tb_SR[],MATCH($C$9&amp;"("&amp;$B$65&amp;")"&amp;$B$77&amp;$A82,Tb_SR[[Code1]:[Code1]],0),HLOOKUP(B$80,'Supply routes'!$A$6:$K$7,2,FALSE)),"")</f>
        <v/>
      </c>
      <c r="C82" s="333" t="str" cm="1">
        <f t="array" ref="C82">IFERROR(INDEX(Tb_SR[],MATCH($C$9&amp;"("&amp;$B$65&amp;")"&amp;$B$77&amp;$A82,Tb_SR[[Code1]:[Code1]],0),HLOOKUP(C$80,'Supply routes'!$A$6:$K$7,2,FALSE)),"")</f>
        <v/>
      </c>
      <c r="D82" s="335" t="str" cm="1">
        <f t="array" ref="D82">IFERROR(INDEX(Tb_SR[],MATCH($C$9&amp;"("&amp;$B$65&amp;")"&amp;$B$77&amp;$A82,Tb_SR[[Code1]:[Code1]],0),HLOOKUP(D$80,'Supply routes'!$A$6:$K$7,2,FALSE)),"")</f>
        <v/>
      </c>
      <c r="E82" s="280"/>
      <c r="F82" s="280"/>
      <c r="G82" s="924" t="s">
        <v>92</v>
      </c>
      <c r="H82" s="986">
        <f>IFERROR(IF(E14="Route not available",E14,H86+H87+H88+H89),"Error")</f>
        <v>0</v>
      </c>
      <c r="I82" s="280"/>
      <c r="J82" s="280"/>
      <c r="K82" s="280"/>
      <c r="L82" s="280"/>
      <c r="M82" s="280"/>
      <c r="N82" s="280"/>
    </row>
    <row r="83" spans="1:14">
      <c r="A83" s="280"/>
      <c r="B83" s="280"/>
      <c r="C83" s="280"/>
      <c r="D83" s="280"/>
      <c r="E83" s="280"/>
      <c r="F83" s="280"/>
      <c r="G83" s="925"/>
      <c r="H83" s="987"/>
      <c r="I83" s="280"/>
      <c r="J83" s="280"/>
      <c r="K83" s="343">
        <f>IFERROR(H86/$H$82,0)</f>
        <v>0</v>
      </c>
      <c r="L83" s="280"/>
      <c r="M83" s="280"/>
      <c r="N83" s="280"/>
    </row>
    <row r="84" spans="1:14" ht="17" thickBot="1">
      <c r="A84" s="351"/>
      <c r="B84" s="347"/>
      <c r="C84" s="280"/>
      <c r="D84" s="280"/>
      <c r="E84" s="280"/>
      <c r="F84" s="280"/>
      <c r="G84" s="926"/>
      <c r="H84" s="988"/>
      <c r="I84" s="280"/>
      <c r="J84" s="280"/>
      <c r="K84" s="343">
        <f>IFERROR(H87/$H$82,0)</f>
        <v>0</v>
      </c>
      <c r="L84" s="280"/>
      <c r="M84" s="280"/>
      <c r="N84" s="280"/>
    </row>
    <row r="85" spans="1:14">
      <c r="A85" s="978" t="s">
        <v>78</v>
      </c>
      <c r="B85" s="978"/>
      <c r="C85" s="978"/>
      <c r="D85" s="978"/>
      <c r="E85" s="280"/>
      <c r="F85" s="280"/>
      <c r="G85" s="954" t="s">
        <v>77</v>
      </c>
      <c r="H85" s="955"/>
      <c r="I85" s="280"/>
      <c r="J85" s="280"/>
      <c r="K85" s="343">
        <f>IFERROR(H88/$H$82,0)</f>
        <v>0</v>
      </c>
      <c r="L85" s="280"/>
      <c r="M85" s="280"/>
      <c r="N85" s="280"/>
    </row>
    <row r="86" spans="1:14">
      <c r="A86" s="352" t="s">
        <v>83</v>
      </c>
      <c r="B86" s="353" t="s">
        <v>93</v>
      </c>
      <c r="C86" s="353" t="s">
        <v>94</v>
      </c>
      <c r="D86" s="324" t="s">
        <v>95</v>
      </c>
      <c r="E86" s="280"/>
      <c r="F86" s="280"/>
      <c r="G86" s="341" t="s">
        <v>96</v>
      </c>
      <c r="H86" s="354">
        <f>IFERROR(IF(D87=0,0,IF(B87="Ship",Shipping!A5,IF(HOME!B87="Pipeline",Pipeline!C48,""))),"Error")</f>
        <v>0</v>
      </c>
      <c r="I86" s="280"/>
      <c r="J86" s="280"/>
      <c r="K86" s="343">
        <f>IFERROR(H89/$H$82,0)</f>
        <v>0</v>
      </c>
      <c r="L86" s="280"/>
      <c r="M86" s="280"/>
      <c r="N86" s="280"/>
    </row>
    <row r="87" spans="1:14">
      <c r="A87" s="355" t="s">
        <v>97</v>
      </c>
      <c r="B87" s="323" t="str">
        <f>E9</f>
        <v>Ship</v>
      </c>
      <c r="C87" s="323" t="str" cm="1">
        <f t="array" ref="C87">IFERROR(INDEX(Tb_SR[],MATCH($C$9&amp;"("&amp;$B$65&amp;")"&amp;E9&amp;F9&amp;$B$77,Tb_SR[Code],0),HLOOKUP("Transmission by sea - Distance [km]",'Supply routes'!A6:K7,2,FALSE)),"")</f>
        <v/>
      </c>
      <c r="D87" s="356">
        <f>ROUND(IF(ISBLANK(E16),IF(C87="",0,C87),E16),0)</f>
        <v>0</v>
      </c>
      <c r="E87" s="373" t="str" cm="1">
        <f t="array" aca="1" ref="E87" ca="1">IF(B87="Ship",HYPERLINK(CELL("address",Shipping!A1),"Change default values"),IF(B87="Pipeline",HYPERLINK(CELL("address",Pipeline!A1),"Change default values"),""))</f>
        <v>Change default values</v>
      </c>
      <c r="F87" s="280"/>
      <c r="G87" s="341" t="s">
        <v>98</v>
      </c>
      <c r="H87" s="354">
        <f>IF(D88&gt;0,IF(HOME!B88="Pipeline",Pipeline!C80,""),0)</f>
        <v>0</v>
      </c>
      <c r="I87" s="280"/>
      <c r="J87" s="280"/>
      <c r="K87" s="343">
        <f>IFERROR(#REF!/$H$82,0)</f>
        <v>0</v>
      </c>
      <c r="L87" s="280"/>
      <c r="M87" s="280"/>
      <c r="N87" s="280"/>
    </row>
    <row r="88" spans="1:14">
      <c r="A88" s="352" t="s">
        <v>99</v>
      </c>
      <c r="B88" s="353" t="str">
        <f>F9</f>
        <v>Pipeline</v>
      </c>
      <c r="C88" s="357" t="str" cm="1">
        <f t="array" ref="C88">IF(C77="Central",IFERROR(INDEX(Tb_SR[],MATCH($C$9&amp;"("&amp;$B$65&amp;")"&amp;E9&amp;F9&amp;$B$77,Tb_SR[[Code]:[Code]],0),HLOOKUP("Transmission by land - Distance [km]",'Supply routes'!A6:K7,2,FALSE)),""),IFERROR(INDEX(Tb_SR[],MATCH($C$9&amp;"("&amp;$B$65&amp;")"&amp;E9&amp;F9&amp;$B$77,Tb_SR[[Code]:[Code]],0),HLOOKUP("Transmission by land - Distance [km]",'Supply routes'!A6:K7,2,FALSE)+1),""))</f>
        <v/>
      </c>
      <c r="D88" s="324">
        <f>ROUND(IF(ISBLANK(F16),IF(C88="",0,C88),F16),0)</f>
        <v>0</v>
      </c>
      <c r="E88" s="373" t="str" cm="1">
        <f t="array" aca="1" ref="E88" ca="1">IF(B88="Pipeline",HYPERLINK(CELL("address",Shipping!A1),"Change default values"),"")</f>
        <v>Change default values</v>
      </c>
      <c r="F88" s="280"/>
      <c r="G88" s="341" t="str">
        <f>"Compression [€/kg]"</f>
        <v>Compression [€/kg]</v>
      </c>
      <c r="H88" s="354">
        <f>IF(D87+D88&gt;0,IF(B87="Ship",IF(D88&gt;0,Compression!K4+ROUNDDOWN(D88/Pipeline!D69,0)*Compression!K7,0),IF(B87="Pipeline",Compression!K4+ROUNDDOWN(D87/Pipeline!D37,0)*Compression!K6+ROUNDDOWN(D88/Pipeline!D69,0)*Compression!K7,0)),0)</f>
        <v>0</v>
      </c>
      <c r="I88" s="358"/>
      <c r="J88" s="280"/>
      <c r="K88" s="280"/>
      <c r="L88" s="280"/>
      <c r="M88" s="280"/>
      <c r="N88" s="280"/>
    </row>
    <row r="89" spans="1:14" ht="17" thickBot="1">
      <c r="A89" s="280"/>
      <c r="B89" s="280"/>
      <c r="C89" s="280"/>
      <c r="D89" s="280"/>
      <c r="E89" s="280"/>
      <c r="F89" s="280"/>
      <c r="G89" s="344" t="str">
        <f>IF(B87="Ship","(Re)Conversion [€/kg]","")</f>
        <v>(Re)Conversion [€/kg]</v>
      </c>
      <c r="H89" s="359">
        <f>IF(AND(B87="Ship",D87&gt;0),IF(AND(D88=0,OR(AND(B106="Truck",B90=B108),D106=0),K9="No"),IF(B90="NH3",'NH3 conversion'!L5,IF(B90="LH2",Liquefaction!L11,0)),IF(B90="NH3",'NH3 reconversion'!L5+'NH3 conversion'!L5,IF(B90="LH2",Regasification!L6+Liquefaction!L11,0))),0)</f>
        <v>0</v>
      </c>
      <c r="I89" s="280"/>
      <c r="J89" s="280"/>
      <c r="K89" s="280"/>
      <c r="L89" s="280"/>
      <c r="M89" s="280"/>
      <c r="N89" s="280"/>
    </row>
    <row r="90" spans="1:14">
      <c r="A90" s="322" t="s">
        <v>100</v>
      </c>
      <c r="B90" s="348" t="str">
        <f>IF(E9="Ship",E12,"gH2")</f>
        <v>NH3</v>
      </c>
      <c r="C90" s="280"/>
      <c r="D90" s="280"/>
      <c r="E90" s="280"/>
      <c r="F90" s="280"/>
      <c r="G90" s="280"/>
      <c r="H90" s="280"/>
      <c r="I90" s="280"/>
      <c r="J90" s="280"/>
      <c r="K90" s="280"/>
      <c r="L90" s="280"/>
      <c r="M90" s="280"/>
      <c r="N90" s="280"/>
    </row>
    <row r="91" spans="1:14">
      <c r="A91" s="322" t="s">
        <v>101</v>
      </c>
      <c r="B91" s="348" t="str">
        <f>IF(F9="Pipeline","gH2","")</f>
        <v>gH2</v>
      </c>
      <c r="C91" s="280"/>
      <c r="D91" s="280"/>
      <c r="E91" s="280"/>
      <c r="F91" s="280"/>
      <c r="G91" s="280"/>
      <c r="H91" s="280"/>
      <c r="I91" s="280"/>
      <c r="J91" s="280"/>
      <c r="K91" s="280"/>
      <c r="L91" s="280"/>
      <c r="M91" s="280"/>
      <c r="N91" s="280"/>
    </row>
    <row r="92" spans="1:14">
      <c r="A92" s="360"/>
      <c r="B92" s="361"/>
      <c r="C92" s="362"/>
      <c r="D92" s="280"/>
      <c r="E92" s="280"/>
      <c r="F92" s="280"/>
      <c r="G92" s="280"/>
      <c r="H92" s="280"/>
      <c r="I92" s="280"/>
      <c r="J92" s="280"/>
      <c r="K92" s="280"/>
      <c r="L92" s="280"/>
      <c r="M92" s="303"/>
      <c r="N92" s="303"/>
    </row>
    <row r="93" spans="1:14">
      <c r="A93" s="280"/>
      <c r="B93" s="280"/>
      <c r="C93" s="280"/>
      <c r="D93" s="280"/>
      <c r="E93" s="280"/>
      <c r="F93" s="280"/>
      <c r="G93" s="280"/>
      <c r="H93" s="280"/>
      <c r="I93" s="280"/>
      <c r="J93" s="280"/>
      <c r="K93" s="280"/>
      <c r="L93" s="280"/>
      <c r="M93" s="280"/>
      <c r="N93" s="280"/>
    </row>
    <row r="94" spans="1:14">
      <c r="A94" s="280"/>
      <c r="B94" s="280"/>
      <c r="C94" s="280"/>
      <c r="D94" s="280"/>
      <c r="E94" s="280"/>
      <c r="F94" s="280"/>
      <c r="G94" s="280"/>
      <c r="H94" s="280"/>
      <c r="I94" s="280"/>
      <c r="J94" s="280"/>
      <c r="K94" s="280"/>
      <c r="L94" s="280"/>
      <c r="M94" s="280"/>
      <c r="N94" s="280"/>
    </row>
    <row r="95" spans="1:14">
      <c r="A95" s="961" t="s">
        <v>82</v>
      </c>
      <c r="B95" s="962"/>
      <c r="C95" s="962"/>
      <c r="D95" s="962"/>
      <c r="E95" s="962"/>
      <c r="F95" s="962"/>
      <c r="G95" s="962"/>
      <c r="H95" s="962"/>
      <c r="I95" s="962"/>
      <c r="J95" s="962"/>
      <c r="K95" s="962"/>
      <c r="L95" s="962"/>
      <c r="M95" s="962"/>
      <c r="N95" s="963"/>
    </row>
    <row r="96" spans="1:14">
      <c r="A96" s="964" t="s">
        <v>102</v>
      </c>
      <c r="B96" s="965"/>
      <c r="C96" s="965"/>
      <c r="D96" s="965"/>
      <c r="E96" s="965"/>
      <c r="F96" s="965"/>
      <c r="G96" s="965"/>
      <c r="H96" s="965"/>
      <c r="I96" s="965"/>
      <c r="J96" s="965"/>
      <c r="K96" s="965"/>
      <c r="L96" s="965"/>
      <c r="M96" s="965"/>
      <c r="N96" s="966"/>
    </row>
    <row r="97" spans="1:14" ht="17" thickBot="1">
      <c r="A97" s="280"/>
      <c r="B97" s="280"/>
      <c r="C97" s="280"/>
      <c r="D97" s="280"/>
      <c r="E97" s="280"/>
      <c r="F97" s="280"/>
      <c r="G97" s="280"/>
      <c r="H97" s="280"/>
      <c r="I97" s="280"/>
      <c r="J97" s="280"/>
      <c r="K97" s="280"/>
      <c r="L97" s="280"/>
      <c r="M97" s="280"/>
      <c r="N97" s="280"/>
    </row>
    <row r="98" spans="1:14">
      <c r="A98" s="979" t="s">
        <v>103</v>
      </c>
      <c r="B98" s="980"/>
      <c r="C98" s="335"/>
      <c r="D98" s="280"/>
      <c r="E98" s="280"/>
      <c r="F98" s="280"/>
      <c r="G98" s="325" t="s">
        <v>69</v>
      </c>
      <c r="H98" s="326">
        <f>A9</f>
        <v>2022</v>
      </c>
      <c r="I98" s="280"/>
      <c r="J98" s="280"/>
      <c r="K98" s="280"/>
      <c r="L98" s="280"/>
      <c r="M98" s="280"/>
      <c r="N98" s="280"/>
    </row>
    <row r="99" spans="1:14">
      <c r="A99" s="327" t="s">
        <v>70</v>
      </c>
      <c r="B99" s="328" t="s">
        <v>102</v>
      </c>
      <c r="C99" s="329" t="s">
        <v>72</v>
      </c>
      <c r="D99" s="280"/>
      <c r="E99" s="280"/>
      <c r="F99" s="280"/>
      <c r="G99" s="330" t="s">
        <v>87</v>
      </c>
      <c r="H99" s="331" t="str">
        <f>B9</f>
        <v>Spain</v>
      </c>
      <c r="I99" s="280"/>
      <c r="J99" s="280"/>
      <c r="K99" s="280"/>
      <c r="L99" s="280"/>
      <c r="M99" s="280"/>
      <c r="N99" s="280"/>
    </row>
    <row r="100" spans="1:14">
      <c r="A100" s="332">
        <v>1</v>
      </c>
      <c r="B100" s="333" t="s">
        <v>25</v>
      </c>
      <c r="C100" s="335"/>
      <c r="D100" s="280"/>
      <c r="E100" s="280"/>
      <c r="F100" s="280"/>
      <c r="G100" s="330" t="s">
        <v>90</v>
      </c>
      <c r="H100" s="331" t="str">
        <f>ROUND(IF(ISBLANK(H16),C106,H16),0)&amp;" km"</f>
        <v>200 km</v>
      </c>
      <c r="I100" s="280"/>
      <c r="J100" s="280"/>
      <c r="K100" s="280"/>
      <c r="L100" s="280"/>
      <c r="M100" s="280"/>
      <c r="N100" s="280"/>
    </row>
    <row r="101" spans="1:14" ht="17" thickBot="1">
      <c r="A101" s="336">
        <v>2</v>
      </c>
      <c r="B101" s="334" t="s">
        <v>104</v>
      </c>
      <c r="C101" s="291"/>
      <c r="D101" s="280"/>
      <c r="E101" s="280"/>
      <c r="F101" s="280"/>
      <c r="G101" s="337" t="s">
        <v>91</v>
      </c>
      <c r="H101" s="338" t="str">
        <f>B108</f>
        <v>gH2</v>
      </c>
      <c r="I101" s="280"/>
      <c r="J101" s="280"/>
      <c r="K101" s="280"/>
      <c r="L101" s="280"/>
      <c r="M101" s="280"/>
      <c r="N101" s="280"/>
    </row>
    <row r="102" spans="1:14">
      <c r="A102" s="280"/>
      <c r="B102" s="280"/>
      <c r="C102" s="280"/>
      <c r="D102" s="280"/>
      <c r="E102" s="280"/>
      <c r="F102" s="280"/>
      <c r="G102" s="924" t="s">
        <v>105</v>
      </c>
      <c r="H102" s="927">
        <f>H106+H107</f>
        <v>0.70609880022228944</v>
      </c>
      <c r="I102" s="280"/>
      <c r="J102" s="280"/>
      <c r="K102" s="280"/>
      <c r="L102" s="280"/>
      <c r="M102" s="280"/>
      <c r="N102" s="280"/>
    </row>
    <row r="103" spans="1:14">
      <c r="A103" s="351" t="str">
        <f>IF(G15="Automatic","","Select OPTION NO.")</f>
        <v/>
      </c>
      <c r="B103" s="347"/>
      <c r="C103" s="280"/>
      <c r="D103" s="280"/>
      <c r="E103" s="280"/>
      <c r="F103" s="280"/>
      <c r="G103" s="925"/>
      <c r="H103" s="928"/>
      <c r="I103" s="280"/>
      <c r="J103" s="280"/>
      <c r="K103" s="280"/>
      <c r="L103" s="280"/>
      <c r="M103" s="280"/>
      <c r="N103" s="280"/>
    </row>
    <row r="104" spans="1:14" ht="17" thickBot="1">
      <c r="A104" s="956" t="s">
        <v>78</v>
      </c>
      <c r="B104" s="957"/>
      <c r="C104" s="957"/>
      <c r="D104" s="958"/>
      <c r="E104" s="280"/>
      <c r="F104" s="280"/>
      <c r="G104" s="926"/>
      <c r="H104" s="929"/>
      <c r="I104" s="280"/>
      <c r="J104" s="308"/>
      <c r="K104" s="280"/>
      <c r="L104" s="280"/>
      <c r="M104" s="280"/>
      <c r="N104" s="280"/>
    </row>
    <row r="105" spans="1:14">
      <c r="A105" s="352" t="s">
        <v>102</v>
      </c>
      <c r="B105" s="353" t="s">
        <v>93</v>
      </c>
      <c r="C105" s="353" t="s">
        <v>106</v>
      </c>
      <c r="D105" s="356" t="s">
        <v>95</v>
      </c>
      <c r="E105" s="280"/>
      <c r="F105" s="280"/>
      <c r="G105" s="954" t="s">
        <v>77</v>
      </c>
      <c r="H105" s="955"/>
      <c r="I105" s="280"/>
      <c r="J105" s="280"/>
      <c r="K105" s="280"/>
      <c r="L105" s="280"/>
      <c r="M105" s="280"/>
      <c r="N105" s="280"/>
    </row>
    <row r="106" spans="1:14">
      <c r="A106" s="352" t="s">
        <v>99</v>
      </c>
      <c r="B106" s="353" t="str">
        <f>H9</f>
        <v>Truck</v>
      </c>
      <c r="C106" s="353">
        <v>200</v>
      </c>
      <c r="D106" s="356">
        <f>IF(ISBLANK(H16),C106,H16)</f>
        <v>200</v>
      </c>
      <c r="E106" s="373" t="str" cm="1">
        <f t="array" aca="1" ref="E106" ca="1">IF(B106="Truck",HYPERLINK(CELL("address",Truck!E15),"Change default values"),IF(HOME!B106="Pipeline",HYPERLINK(CELL("address",Pipeline!A83),"Change default values"),""))</f>
        <v>Change default values</v>
      </c>
      <c r="F106" s="280"/>
      <c r="G106" s="341" t="s">
        <v>107</v>
      </c>
      <c r="H106" s="354">
        <f>IF(B106="Pipeline",Pipeline!C112,IF(B106="Truck",Truck!A5,0))</f>
        <v>0.65887697604133755</v>
      </c>
      <c r="I106" s="280"/>
      <c r="J106" s="280"/>
      <c r="K106" s="343">
        <f>IFERROR(H106/$H$102,0)</f>
        <v>0.93312292250590734</v>
      </c>
      <c r="L106" s="280"/>
      <c r="M106" s="280"/>
      <c r="N106" s="280"/>
    </row>
    <row r="107" spans="1:14" ht="17" thickBot="1">
      <c r="A107" s="280"/>
      <c r="B107" s="280"/>
      <c r="C107" s="280"/>
      <c r="D107" s="280"/>
      <c r="E107" s="280"/>
      <c r="F107" s="280"/>
      <c r="G107" s="344" t="str">
        <f>IF(B108="gH2","Compression [€/kg]","(Re)Conversion [€/kg]")</f>
        <v>Compression [€/kg]</v>
      </c>
      <c r="H107" s="359">
        <f>IF(D106=0,0,IF(B106="Pipeline",Compression!K5+ROUNDDOWN(Pipeline!E85/Pipeline!D101,0)*Compression!K8,IF(B106="Truck",IF(AND(D88=0,B90=B108,D87&gt;0,K9="No",B108&lt;&gt;"gH2"),0,IF(B108="NH3",'NH3 conversion'!L6,IF(B108="LH2",Liquefaction!L12,IF(B108="gH2",Compression!K10,0)))),0)))</f>
        <v>4.7221824180951867E-2</v>
      </c>
      <c r="I107" s="280"/>
      <c r="J107" s="280"/>
      <c r="K107" s="343">
        <f t="shared" ref="K107" si="0">IFERROR(H107/$H$102,0)</f>
        <v>6.6877077494092607E-2</v>
      </c>
      <c r="L107" s="280"/>
      <c r="M107" s="280"/>
      <c r="N107" s="280"/>
    </row>
    <row r="108" spans="1:14">
      <c r="A108" s="322" t="s">
        <v>108</v>
      </c>
      <c r="B108" s="363" t="str">
        <f>J45</f>
        <v>gH2</v>
      </c>
      <c r="C108" s="364"/>
      <c r="D108" s="280"/>
      <c r="E108" s="280"/>
      <c r="F108" s="280"/>
      <c r="G108" s="280"/>
      <c r="H108" s="280"/>
      <c r="I108" s="280"/>
      <c r="J108" s="280"/>
      <c r="K108" s="280"/>
      <c r="L108" s="280"/>
      <c r="M108" s="280"/>
      <c r="N108" s="280"/>
    </row>
    <row r="109" spans="1:14">
      <c r="A109" s="280"/>
      <c r="B109" s="280"/>
      <c r="C109" s="280"/>
      <c r="D109" s="280"/>
      <c r="E109" s="280"/>
      <c r="F109" s="280"/>
      <c r="G109" s="280"/>
      <c r="H109" s="280"/>
      <c r="I109" s="280"/>
      <c r="J109" s="280"/>
      <c r="K109" s="280"/>
      <c r="L109" s="280"/>
      <c r="M109" s="280"/>
      <c r="N109" s="280"/>
    </row>
    <row r="110" spans="1:14">
      <c r="A110" s="280"/>
      <c r="B110" s="280"/>
      <c r="C110" s="362"/>
      <c r="D110" s="280"/>
      <c r="E110" s="280"/>
      <c r="F110" s="280"/>
      <c r="G110" s="280"/>
      <c r="H110" s="280"/>
      <c r="I110" s="280"/>
      <c r="J110" s="280"/>
      <c r="K110" s="280"/>
      <c r="L110" s="280"/>
      <c r="M110" s="280"/>
      <c r="N110" s="280"/>
    </row>
    <row r="111" spans="1:14">
      <c r="A111" s="961" t="s">
        <v>11</v>
      </c>
      <c r="B111" s="962"/>
      <c r="C111" s="962"/>
      <c r="D111" s="962"/>
      <c r="E111" s="962"/>
      <c r="F111" s="962"/>
      <c r="G111" s="962"/>
      <c r="H111" s="962"/>
      <c r="I111" s="962"/>
      <c r="J111" s="962"/>
      <c r="K111" s="962"/>
      <c r="L111" s="962"/>
      <c r="M111" s="962"/>
      <c r="N111" s="963"/>
    </row>
    <row r="112" spans="1:14">
      <c r="A112" s="964" t="s">
        <v>109</v>
      </c>
      <c r="B112" s="965"/>
      <c r="C112" s="965"/>
      <c r="D112" s="965"/>
      <c r="E112" s="965"/>
      <c r="F112" s="965"/>
      <c r="G112" s="965"/>
      <c r="H112" s="965"/>
      <c r="I112" s="965"/>
      <c r="J112" s="965"/>
      <c r="K112" s="965"/>
      <c r="L112" s="965"/>
      <c r="M112" s="965"/>
      <c r="N112" s="966"/>
    </row>
    <row r="113" spans="1:14" ht="17" thickBot="1">
      <c r="A113" s="280"/>
      <c r="B113" s="280"/>
      <c r="C113" s="280"/>
      <c r="D113" s="280"/>
      <c r="E113" s="280"/>
      <c r="F113" s="280"/>
      <c r="G113" s="280"/>
      <c r="H113" s="280"/>
      <c r="I113" s="280"/>
      <c r="J113" s="280"/>
      <c r="K113" s="280"/>
      <c r="L113" s="280"/>
      <c r="M113" s="280"/>
      <c r="N113" s="280"/>
    </row>
    <row r="114" spans="1:14">
      <c r="A114" s="956" t="s">
        <v>110</v>
      </c>
      <c r="B114" s="957"/>
      <c r="C114" s="958"/>
      <c r="D114" s="280"/>
      <c r="E114" s="280"/>
      <c r="F114" s="280"/>
      <c r="G114" s="325" t="s">
        <v>69</v>
      </c>
      <c r="H114" s="326">
        <f>A9</f>
        <v>2022</v>
      </c>
      <c r="I114" s="280"/>
      <c r="J114" s="280"/>
      <c r="K114" s="280"/>
      <c r="L114" s="280"/>
      <c r="M114" s="280"/>
      <c r="N114" s="280"/>
    </row>
    <row r="115" spans="1:14" ht="17" thickBot="1">
      <c r="A115" s="322" t="str">
        <f>IF(J40="No storage","No export terminal","Export terminal in")</f>
        <v>No export terminal</v>
      </c>
      <c r="B115" s="335" t="str">
        <f>IF(J40="No storage","",C9)</f>
        <v/>
      </c>
      <c r="C115" s="967" t="s">
        <v>111</v>
      </c>
      <c r="D115" s="280"/>
      <c r="E115" s="280"/>
      <c r="F115" s="280"/>
      <c r="G115" s="337" t="s">
        <v>91</v>
      </c>
      <c r="H115" s="338" t="str">
        <f>B122</f>
        <v/>
      </c>
      <c r="I115" s="280"/>
      <c r="J115" s="280"/>
      <c r="K115" s="280"/>
      <c r="L115" s="280"/>
      <c r="M115" s="280"/>
      <c r="N115" s="280"/>
    </row>
    <row r="116" spans="1:14">
      <c r="A116" s="322" t="str">
        <f>IF(J40="No storage","","H2 carrier:")</f>
        <v/>
      </c>
      <c r="B116" s="335" t="str">
        <f>IF(J40="No storage","",J40)</f>
        <v/>
      </c>
      <c r="C116" s="959"/>
      <c r="D116" s="280"/>
      <c r="E116" s="280"/>
      <c r="F116" s="280"/>
      <c r="G116" s="924" t="s">
        <v>112</v>
      </c>
      <c r="H116" s="927">
        <f>H120+H121</f>
        <v>0</v>
      </c>
      <c r="I116" s="280"/>
      <c r="J116" s="280"/>
      <c r="K116" s="280"/>
      <c r="L116" s="280"/>
      <c r="M116" s="280"/>
      <c r="N116" s="280"/>
    </row>
    <row r="117" spans="1:14">
      <c r="A117" s="322" t="str">
        <f>IF(J40="No storage","","Storage capacity [t_"&amp;B116&amp;"]")</f>
        <v/>
      </c>
      <c r="B117" s="346" t="str">
        <f>IF(J40="No storage","",IntStorage!D23)</f>
        <v/>
      </c>
      <c r="C117" s="959"/>
      <c r="D117" s="280"/>
      <c r="E117" s="280"/>
      <c r="F117" s="280"/>
      <c r="G117" s="925"/>
      <c r="H117" s="928"/>
      <c r="I117" s="280"/>
      <c r="J117" s="280"/>
      <c r="K117" s="280"/>
      <c r="L117" s="280"/>
      <c r="M117" s="280"/>
      <c r="N117" s="280"/>
    </row>
    <row r="118" spans="1:14" ht="17" thickBot="1">
      <c r="A118" s="322" t="str">
        <f>IF(J40="No storage","","Storage type:")</f>
        <v/>
      </c>
      <c r="B118" s="335" t="str">
        <f>IF(J40="No storage","","Cryogenic tank")</f>
        <v/>
      </c>
      <c r="C118" s="960"/>
      <c r="D118" s="280"/>
      <c r="E118" s="280"/>
      <c r="F118" s="280"/>
      <c r="G118" s="926"/>
      <c r="H118" s="929"/>
      <c r="I118" s="280"/>
      <c r="J118" s="280"/>
      <c r="K118" s="280"/>
      <c r="L118" s="280"/>
      <c r="M118" s="280"/>
      <c r="N118" s="280"/>
    </row>
    <row r="119" spans="1:14">
      <c r="A119" s="280"/>
      <c r="B119" s="280"/>
      <c r="C119" s="280"/>
      <c r="D119" s="280"/>
      <c r="E119" s="280"/>
      <c r="F119" s="280"/>
      <c r="G119" s="954" t="s">
        <v>77</v>
      </c>
      <c r="H119" s="955"/>
      <c r="I119" s="280"/>
      <c r="J119" s="280"/>
      <c r="K119" s="280"/>
      <c r="L119" s="280"/>
      <c r="M119" s="280"/>
      <c r="N119" s="280"/>
    </row>
    <row r="120" spans="1:14">
      <c r="A120" s="956" t="s">
        <v>113</v>
      </c>
      <c r="B120" s="957"/>
      <c r="C120" s="958"/>
      <c r="D120" s="280"/>
      <c r="E120" s="280"/>
      <c r="F120" s="280"/>
      <c r="G120" s="341" t="s">
        <v>114</v>
      </c>
      <c r="H120" s="354">
        <f>IF(J40="No storage",0,IntStorage!D79)</f>
        <v>0</v>
      </c>
      <c r="I120" s="280"/>
      <c r="J120" s="280"/>
      <c r="K120" s="343">
        <f>IFERROR(H120/$H$116,0)</f>
        <v>0</v>
      </c>
      <c r="L120" s="280"/>
      <c r="M120" s="280"/>
      <c r="N120" s="280"/>
    </row>
    <row r="121" spans="1:14" ht="17" thickBot="1">
      <c r="A121" s="322" t="str">
        <f>IF(J42="No storage","No import terminal","Import terminal in")</f>
        <v>No import terminal</v>
      </c>
      <c r="B121" s="335" t="str">
        <f>IF(J42="No storage","",B9)</f>
        <v/>
      </c>
      <c r="C121" s="967" t="s">
        <v>111</v>
      </c>
      <c r="D121" s="280"/>
      <c r="E121" s="280"/>
      <c r="F121" s="280"/>
      <c r="G121" s="344" t="s">
        <v>115</v>
      </c>
      <c r="H121" s="359">
        <f>IF(J42="No storage",0,IntStorage!D80)</f>
        <v>0</v>
      </c>
      <c r="I121" s="280"/>
      <c r="J121" s="280"/>
      <c r="K121" s="343">
        <f>IFERROR(H121/$H$116,0)</f>
        <v>0</v>
      </c>
      <c r="L121" s="280"/>
      <c r="M121" s="280"/>
      <c r="N121" s="280"/>
    </row>
    <row r="122" spans="1:14">
      <c r="A122" s="322" t="str">
        <f>IF(J42="No storage","","H2 carrier:")</f>
        <v/>
      </c>
      <c r="B122" s="335" t="str">
        <f>IF(J42="No storage","",J42)</f>
        <v/>
      </c>
      <c r="C122" s="959"/>
      <c r="D122" s="280"/>
      <c r="E122" s="280"/>
      <c r="F122" s="280"/>
      <c r="G122" s="280"/>
      <c r="H122" s="280"/>
      <c r="I122" s="280"/>
      <c r="J122" s="280"/>
      <c r="K122" s="280"/>
      <c r="L122" s="280"/>
      <c r="M122" s="280"/>
      <c r="N122" s="280"/>
    </row>
    <row r="123" spans="1:14">
      <c r="A123" s="322" t="str">
        <f>IF(J42="No storage","","Storage capacity [t_"&amp;B122&amp;"]")</f>
        <v/>
      </c>
      <c r="B123" s="346" t="str">
        <f>IF(J42="No storage","",IntStorage!D52)</f>
        <v/>
      </c>
      <c r="C123" s="959"/>
      <c r="D123" s="280"/>
      <c r="E123" s="280"/>
      <c r="F123" s="280"/>
      <c r="G123" s="280"/>
      <c r="H123" s="280"/>
      <c r="I123" s="280"/>
      <c r="J123" s="280"/>
      <c r="K123" s="280"/>
      <c r="L123" s="280"/>
      <c r="M123" s="280"/>
      <c r="N123" s="280"/>
    </row>
    <row r="124" spans="1:14">
      <c r="A124" s="322" t="str">
        <f>IF(J42="No storage","","Storage type:")</f>
        <v/>
      </c>
      <c r="B124" s="335" t="str">
        <f>IF(J42="No storage","","Cryogenic tank")</f>
        <v/>
      </c>
      <c r="C124" s="960"/>
      <c r="D124" s="280"/>
      <c r="E124" s="280"/>
      <c r="F124" s="280"/>
      <c r="G124" s="280"/>
      <c r="H124" s="280"/>
      <c r="I124" s="280"/>
      <c r="J124" s="280"/>
      <c r="K124" s="280"/>
      <c r="L124" s="280"/>
      <c r="M124" s="280"/>
      <c r="N124" s="280"/>
    </row>
    <row r="125" spans="1:14">
      <c r="A125" s="280"/>
      <c r="B125" s="280"/>
      <c r="C125" s="280"/>
      <c r="D125" s="280"/>
      <c r="E125" s="280"/>
      <c r="F125" s="280"/>
      <c r="G125" s="280"/>
      <c r="H125" s="280"/>
      <c r="I125" s="280"/>
      <c r="J125" s="280"/>
      <c r="K125" s="280"/>
      <c r="L125" s="280"/>
      <c r="M125" s="280"/>
      <c r="N125" s="280"/>
    </row>
    <row r="126" spans="1:14">
      <c r="A126" s="961" t="s">
        <v>11</v>
      </c>
      <c r="B126" s="962"/>
      <c r="C126" s="962"/>
      <c r="D126" s="962"/>
      <c r="E126" s="962"/>
      <c r="F126" s="962"/>
      <c r="G126" s="962"/>
      <c r="H126" s="962"/>
      <c r="I126" s="962"/>
      <c r="J126" s="962"/>
      <c r="K126" s="962"/>
      <c r="L126" s="962"/>
      <c r="M126" s="962"/>
      <c r="N126" s="963"/>
    </row>
    <row r="127" spans="1:14">
      <c r="A127" s="964" t="s">
        <v>65</v>
      </c>
      <c r="B127" s="965"/>
      <c r="C127" s="965"/>
      <c r="D127" s="965"/>
      <c r="E127" s="965"/>
      <c r="F127" s="965"/>
      <c r="G127" s="965"/>
      <c r="H127" s="965"/>
      <c r="I127" s="965"/>
      <c r="J127" s="965"/>
      <c r="K127" s="965"/>
      <c r="L127" s="965"/>
      <c r="M127" s="965"/>
      <c r="N127" s="966"/>
    </row>
    <row r="128" spans="1:14" ht="17" thickBot="1">
      <c r="A128" s="280"/>
      <c r="B128" s="280"/>
      <c r="C128" s="280"/>
      <c r="D128" s="280"/>
      <c r="E128" s="280"/>
      <c r="F128" s="280"/>
      <c r="G128" s="280"/>
      <c r="H128" s="280"/>
      <c r="I128" s="280"/>
      <c r="J128" s="280"/>
      <c r="K128" s="280"/>
      <c r="L128" s="280"/>
      <c r="M128" s="280"/>
      <c r="N128" s="280"/>
    </row>
    <row r="129" spans="1:14">
      <c r="A129" s="322" t="str">
        <f>IF(K9="Yes","Final storage in","No final storage")</f>
        <v>Final storage in</v>
      </c>
      <c r="B129" s="324" t="str">
        <f>IF(K9="Yes",B9,"")</f>
        <v>Spain</v>
      </c>
      <c r="C129" s="280"/>
      <c r="D129" s="280"/>
      <c r="E129" s="280"/>
      <c r="F129" s="280"/>
      <c r="G129" s="325" t="s">
        <v>69</v>
      </c>
      <c r="H129" s="326">
        <f>A9</f>
        <v>2022</v>
      </c>
      <c r="I129" s="280"/>
      <c r="J129" s="280"/>
      <c r="K129" s="280"/>
      <c r="L129" s="280"/>
      <c r="M129" s="280"/>
      <c r="N129" s="280"/>
    </row>
    <row r="130" spans="1:14">
      <c r="A130" s="365" t="s">
        <v>116</v>
      </c>
      <c r="B130" s="366" t="s">
        <v>27</v>
      </c>
      <c r="C130" s="280"/>
      <c r="D130" s="280"/>
      <c r="E130" s="280"/>
      <c r="F130" s="280"/>
      <c r="G130" s="330" t="s">
        <v>117</v>
      </c>
      <c r="H130" s="331" t="str">
        <f>B9</f>
        <v>Spain</v>
      </c>
      <c r="I130" s="280"/>
      <c r="J130" s="280"/>
      <c r="K130" s="280"/>
      <c r="L130" s="280"/>
      <c r="M130" s="280"/>
      <c r="N130" s="280"/>
    </row>
    <row r="131" spans="1:14">
      <c r="A131" s="280"/>
      <c r="B131" s="280"/>
      <c r="C131" s="280"/>
      <c r="D131" s="280"/>
      <c r="E131" s="280"/>
      <c r="F131" s="280"/>
      <c r="G131" s="330" t="s">
        <v>116</v>
      </c>
      <c r="H131" s="331" t="str">
        <f>B130</f>
        <v>gH2</v>
      </c>
      <c r="I131" s="280"/>
      <c r="J131" s="280"/>
      <c r="K131" s="280"/>
      <c r="L131" s="280"/>
      <c r="M131" s="280"/>
      <c r="N131" s="280"/>
    </row>
    <row r="132" spans="1:14" ht="17" thickBot="1">
      <c r="A132" s="327" t="s">
        <v>70</v>
      </c>
      <c r="B132" s="328" t="s">
        <v>65</v>
      </c>
      <c r="C132" s="329" t="s">
        <v>72</v>
      </c>
      <c r="D132" s="280"/>
      <c r="E132" s="280"/>
      <c r="F132" s="280"/>
      <c r="G132" s="337" t="s">
        <v>118</v>
      </c>
      <c r="H132" s="338" t="str">
        <f>B146</f>
        <v>Geological - Depleted NG or Oil Reservoir</v>
      </c>
      <c r="I132" s="280"/>
      <c r="J132" s="280"/>
      <c r="K132" s="280"/>
      <c r="L132" s="280"/>
      <c r="M132" s="280"/>
      <c r="N132" s="280"/>
    </row>
    <row r="133" spans="1:14">
      <c r="A133" s="332">
        <v>1</v>
      </c>
      <c r="B133" s="333" t="s">
        <v>40</v>
      </c>
      <c r="C133" s="291"/>
      <c r="D133" s="280"/>
      <c r="E133" s="280"/>
      <c r="F133" s="280"/>
      <c r="G133" s="924" t="s">
        <v>119</v>
      </c>
      <c r="H133" s="927">
        <f>H137+H138</f>
        <v>0.51379072891522903</v>
      </c>
      <c r="I133" s="280"/>
      <c r="J133" s="280"/>
      <c r="K133" s="280"/>
      <c r="L133" s="280"/>
      <c r="M133" s="280"/>
      <c r="N133" s="280"/>
    </row>
    <row r="134" spans="1:14">
      <c r="A134" s="336">
        <v>2</v>
      </c>
      <c r="B134" s="334" t="s">
        <v>120</v>
      </c>
      <c r="C134" s="291"/>
      <c r="D134" s="280"/>
      <c r="E134" s="280"/>
      <c r="F134" s="280"/>
      <c r="G134" s="925"/>
      <c r="H134" s="928"/>
      <c r="I134" s="280"/>
      <c r="J134" s="280"/>
      <c r="K134" s="280"/>
      <c r="L134" s="280"/>
      <c r="M134" s="280"/>
      <c r="N134" s="280"/>
    </row>
    <row r="135" spans="1:14" ht="17" thickBot="1">
      <c r="A135" s="332">
        <v>3</v>
      </c>
      <c r="B135" s="334" t="s">
        <v>121</v>
      </c>
      <c r="C135" s="291"/>
      <c r="D135" s="280"/>
      <c r="E135" s="280"/>
      <c r="F135" s="280"/>
      <c r="G135" s="926"/>
      <c r="H135" s="929"/>
      <c r="I135" s="280"/>
      <c r="J135" s="280"/>
      <c r="K135" s="280"/>
      <c r="L135" s="280"/>
      <c r="M135" s="280"/>
      <c r="N135" s="280"/>
    </row>
    <row r="136" spans="1:14">
      <c r="A136" s="336">
        <v>4</v>
      </c>
      <c r="B136" s="334" t="s">
        <v>122</v>
      </c>
      <c r="C136" s="291"/>
      <c r="D136" s="280"/>
      <c r="E136" s="280"/>
      <c r="F136" s="280"/>
      <c r="G136" s="954" t="s">
        <v>77</v>
      </c>
      <c r="H136" s="955"/>
      <c r="I136" s="280"/>
      <c r="J136" s="280"/>
      <c r="K136" s="280"/>
      <c r="L136" s="280"/>
      <c r="M136" s="280"/>
      <c r="N136" s="280"/>
    </row>
    <row r="137" spans="1:14">
      <c r="A137" s="332">
        <v>5</v>
      </c>
      <c r="B137" s="334" t="s">
        <v>123</v>
      </c>
      <c r="C137" s="291"/>
      <c r="D137" s="280"/>
      <c r="E137" s="280"/>
      <c r="F137" s="280"/>
      <c r="G137" s="341" t="s">
        <v>124</v>
      </c>
      <c r="H137" s="354">
        <f>IF(J44="No storage",0,FinalStorage!A5)</f>
        <v>0.37558026102074277</v>
      </c>
      <c r="I137" s="280"/>
      <c r="J137" s="280"/>
      <c r="K137" s="343">
        <f>IFERROR(H137/$H$133,0)</f>
        <v>0.7309985172634561</v>
      </c>
      <c r="L137" s="280"/>
      <c r="M137" s="280"/>
      <c r="N137" s="280"/>
    </row>
    <row r="138" spans="1:14" ht="17" thickBot="1">
      <c r="A138" s="336">
        <v>6</v>
      </c>
      <c r="B138" s="334" t="s">
        <v>125</v>
      </c>
      <c r="C138" s="291"/>
      <c r="D138" s="280"/>
      <c r="E138" s="280"/>
      <c r="F138" s="280"/>
      <c r="G138" s="344" t="s">
        <v>126</v>
      </c>
      <c r="H138" s="359">
        <f>IF(J44="No storage",0,INDEX(Compression!K4:K18,MATCH(H132,Compression!J4:J18,0)))</f>
        <v>0.13821046789448621</v>
      </c>
      <c r="I138" s="280"/>
      <c r="J138" s="280"/>
      <c r="K138" s="343">
        <f>IFERROR(H138/$H$133,0)</f>
        <v>0.26900148273654373</v>
      </c>
      <c r="L138" s="280"/>
      <c r="M138" s="280"/>
      <c r="N138" s="280"/>
    </row>
    <row r="139" spans="1:14">
      <c r="A139" s="332">
        <v>7</v>
      </c>
      <c r="B139" s="334" t="s">
        <v>127</v>
      </c>
      <c r="C139" s="291"/>
      <c r="D139" s="280"/>
      <c r="E139" s="280"/>
      <c r="F139" s="280"/>
      <c r="G139" s="280"/>
      <c r="H139" s="280"/>
      <c r="I139" s="280"/>
      <c r="J139" s="280"/>
      <c r="K139" s="280"/>
      <c r="L139" s="280"/>
      <c r="M139" s="280"/>
      <c r="N139" s="280"/>
    </row>
    <row r="140" spans="1:14">
      <c r="A140" s="336">
        <v>8</v>
      </c>
      <c r="B140" s="334" t="s">
        <v>128</v>
      </c>
      <c r="C140" s="291"/>
      <c r="D140" s="280"/>
      <c r="E140" s="280"/>
      <c r="F140" s="280"/>
      <c r="G140" s="280"/>
      <c r="H140" s="280"/>
      <c r="I140" s="280"/>
      <c r="J140" s="280"/>
      <c r="K140" s="280"/>
      <c r="L140" s="280"/>
      <c r="M140" s="280"/>
      <c r="N140" s="280"/>
    </row>
    <row r="141" spans="1:14">
      <c r="A141" s="336"/>
      <c r="B141" s="334"/>
      <c r="C141" s="291"/>
      <c r="D141" s="280"/>
      <c r="E141" s="280"/>
      <c r="F141" s="280"/>
      <c r="G141" s="280"/>
      <c r="H141" s="280"/>
      <c r="I141" s="280"/>
      <c r="J141" s="280"/>
      <c r="K141" s="280"/>
      <c r="L141" s="280"/>
      <c r="M141" s="280"/>
      <c r="N141" s="280"/>
    </row>
    <row r="142" spans="1:14">
      <c r="A142" s="280"/>
      <c r="B142" s="280"/>
      <c r="C142" s="280"/>
      <c r="D142" s="280"/>
      <c r="E142" s="280"/>
      <c r="F142" s="280"/>
      <c r="G142" s="280"/>
      <c r="H142" s="280"/>
      <c r="I142" s="280"/>
      <c r="J142" s="280"/>
      <c r="K142" s="280"/>
      <c r="L142" s="280"/>
      <c r="M142" s="280"/>
      <c r="N142" s="280"/>
    </row>
    <row r="143" spans="1:14">
      <c r="A143" s="280"/>
      <c r="B143" s="280"/>
      <c r="C143" s="280"/>
      <c r="D143" s="280"/>
      <c r="E143" s="280"/>
      <c r="F143" s="280"/>
      <c r="G143" s="280"/>
      <c r="H143" s="280"/>
      <c r="I143" s="280"/>
      <c r="J143" s="280"/>
      <c r="K143" s="280"/>
      <c r="L143" s="280"/>
      <c r="M143" s="280"/>
      <c r="N143" s="280"/>
    </row>
    <row r="144" spans="1:14">
      <c r="A144" s="956" t="s">
        <v>113</v>
      </c>
      <c r="B144" s="957"/>
      <c r="C144" s="958"/>
      <c r="D144" s="280"/>
      <c r="E144" s="280"/>
      <c r="F144" s="280"/>
      <c r="G144" s="280"/>
      <c r="H144" s="280"/>
      <c r="I144" s="280"/>
      <c r="J144" s="280"/>
      <c r="K144" s="280"/>
      <c r="L144" s="280"/>
      <c r="M144" s="280"/>
      <c r="N144" s="280"/>
    </row>
    <row r="145" spans="1:14">
      <c r="A145" s="322" t="str">
        <f>IF(J44="No storage","","Storage capacity [t_H2]")</f>
        <v>Storage capacity [t_H2]</v>
      </c>
      <c r="B145" s="346">
        <f>IF(J44="No storage","",FinalStorage!D58)</f>
        <v>3115062.5</v>
      </c>
      <c r="C145" s="959" t="s">
        <v>111</v>
      </c>
      <c r="D145" s="280"/>
      <c r="E145" s="280"/>
      <c r="F145" s="280"/>
      <c r="G145" s="280"/>
      <c r="H145" s="280"/>
      <c r="I145" s="280"/>
      <c r="J145" s="280"/>
      <c r="K145" s="280"/>
      <c r="L145" s="280"/>
      <c r="M145" s="280"/>
      <c r="N145" s="280"/>
    </row>
    <row r="146" spans="1:14">
      <c r="A146" s="322" t="str">
        <f>IF(J44="No storage","","Storage type:")</f>
        <v>Storage type:</v>
      </c>
      <c r="B146" s="335" t="str">
        <f>IF(J44="No storage","",K15)</f>
        <v>Geological - Depleted NG or Oil Reservoir</v>
      </c>
      <c r="C146" s="960"/>
      <c r="D146" s="280"/>
      <c r="E146" s="280"/>
      <c r="F146" s="280"/>
      <c r="G146" s="280"/>
      <c r="H146" s="280"/>
      <c r="I146" s="280"/>
      <c r="J146" s="280"/>
      <c r="K146" s="280"/>
      <c r="L146" s="280"/>
      <c r="M146" s="280"/>
      <c r="N146" s="280"/>
    </row>
    <row r="147" spans="1:14">
      <c r="A147" s="280"/>
      <c r="B147" s="280"/>
      <c r="C147" s="280"/>
      <c r="D147" s="280"/>
      <c r="E147" s="280"/>
      <c r="F147" s="280"/>
      <c r="G147" s="280"/>
      <c r="H147" s="280"/>
      <c r="I147" s="280"/>
      <c r="J147" s="280"/>
      <c r="K147" s="280"/>
      <c r="L147" s="280"/>
      <c r="M147" s="280"/>
      <c r="N147" s="280"/>
    </row>
    <row r="148" spans="1:14">
      <c r="A148" s="280"/>
      <c r="B148" s="280"/>
      <c r="C148" s="280"/>
      <c r="D148" s="280"/>
      <c r="E148" s="280"/>
      <c r="F148" s="280"/>
      <c r="G148" s="280"/>
      <c r="H148" s="280"/>
      <c r="I148" s="280"/>
      <c r="J148" s="280"/>
      <c r="K148" s="280"/>
      <c r="L148" s="280"/>
      <c r="M148" s="280"/>
      <c r="N148" s="280"/>
    </row>
    <row r="149" spans="1:14">
      <c r="A149" s="280"/>
      <c r="B149" s="280"/>
      <c r="C149" s="280"/>
      <c r="D149" s="280"/>
      <c r="E149" s="280"/>
      <c r="F149" s="280"/>
      <c r="G149" s="280"/>
      <c r="H149" s="280"/>
      <c r="I149" s="280"/>
      <c r="J149" s="280"/>
      <c r="K149" s="280"/>
      <c r="L149" s="280"/>
      <c r="M149" s="280"/>
      <c r="N149" s="280"/>
    </row>
    <row r="150" spans="1:14">
      <c r="A150" s="961" t="s">
        <v>129</v>
      </c>
      <c r="B150" s="962"/>
      <c r="C150" s="962"/>
      <c r="D150" s="962"/>
      <c r="E150" s="962"/>
      <c r="F150" s="962"/>
      <c r="G150" s="962"/>
      <c r="H150" s="962"/>
      <c r="I150" s="962"/>
      <c r="J150" s="962"/>
      <c r="K150" s="962"/>
      <c r="L150" s="962"/>
      <c r="M150" s="962"/>
      <c r="N150" s="963"/>
    </row>
    <row r="151" spans="1:14">
      <c r="A151" s="921" t="s">
        <v>130</v>
      </c>
      <c r="B151" s="922"/>
      <c r="C151" s="922"/>
      <c r="D151" s="922"/>
      <c r="E151" s="922"/>
      <c r="F151" s="922"/>
      <c r="G151" s="922"/>
      <c r="H151" s="922"/>
      <c r="I151" s="922"/>
      <c r="J151" s="922"/>
      <c r="K151" s="922"/>
      <c r="L151" s="922"/>
      <c r="M151" s="922"/>
      <c r="N151" s="923"/>
    </row>
    <row r="152" spans="1:14">
      <c r="A152" s="367"/>
      <c r="B152" s="367"/>
      <c r="C152" s="280"/>
      <c r="D152" s="280"/>
      <c r="E152" s="280"/>
      <c r="F152" s="280"/>
      <c r="G152" s="280"/>
      <c r="H152" s="280"/>
      <c r="I152" s="280"/>
      <c r="J152" s="280"/>
      <c r="K152" s="280"/>
      <c r="L152" s="280"/>
      <c r="M152" s="280"/>
      <c r="N152" s="280"/>
    </row>
    <row r="153" spans="1:14" ht="17" thickBot="1">
      <c r="A153" s="322" t="s">
        <v>116</v>
      </c>
      <c r="B153" s="324" t="str">
        <f>L9</f>
        <v>NH3</v>
      </c>
      <c r="C153" s="280"/>
      <c r="D153" s="280"/>
      <c r="E153" s="280"/>
      <c r="F153" s="280"/>
      <c r="G153" s="280"/>
      <c r="H153" s="280"/>
      <c r="I153" s="280"/>
      <c r="J153" s="280"/>
      <c r="K153" s="280"/>
      <c r="L153" s="280"/>
      <c r="M153" s="280"/>
      <c r="N153" s="280"/>
    </row>
    <row r="154" spans="1:14">
      <c r="A154" s="368" t="s">
        <v>131</v>
      </c>
      <c r="B154" s="356">
        <f>IF(L9="gH2",300,1)</f>
        <v>1</v>
      </c>
      <c r="C154" s="280"/>
      <c r="D154" s="280"/>
      <c r="E154" s="280"/>
      <c r="F154" s="280"/>
      <c r="G154" s="325" t="s">
        <v>87</v>
      </c>
      <c r="H154" s="326" t="str">
        <f>B64</f>
        <v>Electrolysis</v>
      </c>
      <c r="I154" s="280"/>
      <c r="J154" s="280"/>
      <c r="K154" s="280"/>
      <c r="L154" s="280"/>
      <c r="M154" s="280"/>
      <c r="N154" s="280"/>
    </row>
    <row r="155" spans="1:14">
      <c r="A155" s="368" t="s">
        <v>1301</v>
      </c>
      <c r="B155" s="356">
        <f>IF(ISBLANK(L13),B154,L13)</f>
        <v>1</v>
      </c>
      <c r="C155" s="280"/>
      <c r="D155" s="280"/>
      <c r="E155" s="280"/>
      <c r="F155" s="280"/>
      <c r="G155" s="369" t="s">
        <v>91</v>
      </c>
      <c r="H155" s="370" t="str">
        <f>B153</f>
        <v>NH3</v>
      </c>
      <c r="I155" s="280"/>
      <c r="J155" s="280"/>
      <c r="K155" s="280"/>
      <c r="L155" s="280"/>
      <c r="M155" s="280"/>
      <c r="N155" s="280"/>
    </row>
    <row r="156" spans="1:14" ht="17" thickBot="1">
      <c r="A156" s="280"/>
      <c r="B156" s="280"/>
      <c r="C156" s="280"/>
      <c r="D156" s="280"/>
      <c r="E156" s="280"/>
      <c r="F156" s="280"/>
      <c r="G156" s="371" t="s">
        <v>132</v>
      </c>
      <c r="H156" s="372">
        <f>IF(ISBLANK(L13),B154,L13)</f>
        <v>1</v>
      </c>
      <c r="I156" s="280"/>
      <c r="J156" s="280"/>
      <c r="K156" s="280"/>
      <c r="L156" s="280"/>
      <c r="M156" s="280"/>
      <c r="N156" s="280"/>
    </row>
    <row r="157" spans="1:14">
      <c r="A157" s="280"/>
      <c r="B157" s="280"/>
      <c r="C157" s="280"/>
      <c r="D157" s="280"/>
      <c r="E157" s="280"/>
      <c r="F157" s="280"/>
      <c r="G157" s="924" t="s">
        <v>133</v>
      </c>
      <c r="H157" s="927">
        <f>H161+H162</f>
        <v>2.2280852421609141</v>
      </c>
      <c r="I157" s="280"/>
      <c r="J157" s="280"/>
      <c r="K157" s="280"/>
      <c r="L157" s="280"/>
      <c r="M157" s="280"/>
      <c r="N157" s="280"/>
    </row>
    <row r="158" spans="1:14">
      <c r="A158" s="280"/>
      <c r="B158" s="280"/>
      <c r="C158" s="280"/>
      <c r="D158" s="280"/>
      <c r="E158" s="280"/>
      <c r="F158" s="280"/>
      <c r="G158" s="925"/>
      <c r="H158" s="928"/>
      <c r="I158" s="280"/>
      <c r="J158" s="280"/>
      <c r="K158" s="280"/>
      <c r="L158" s="280"/>
      <c r="M158" s="280"/>
      <c r="N158" s="280"/>
    </row>
    <row r="159" spans="1:14" ht="17" thickBot="1">
      <c r="A159" s="280"/>
      <c r="B159" s="280"/>
      <c r="C159" s="280"/>
      <c r="D159" s="280"/>
      <c r="E159" s="280"/>
      <c r="F159" s="280"/>
      <c r="G159" s="926"/>
      <c r="H159" s="929"/>
      <c r="I159" s="280"/>
      <c r="J159" s="280"/>
      <c r="K159" s="280"/>
      <c r="L159" s="280"/>
      <c r="M159" s="280"/>
      <c r="N159" s="280"/>
    </row>
    <row r="160" spans="1:14">
      <c r="A160" s="280"/>
      <c r="B160" s="280"/>
      <c r="C160" s="280"/>
      <c r="D160" s="280"/>
      <c r="E160" s="280"/>
      <c r="F160" s="280"/>
      <c r="G160" s="954" t="s">
        <v>77</v>
      </c>
      <c r="H160" s="955"/>
      <c r="I160" s="280"/>
      <c r="J160" s="280"/>
      <c r="K160" s="280"/>
      <c r="L160" s="280"/>
      <c r="M160" s="280"/>
      <c r="N160" s="280"/>
    </row>
    <row r="161" spans="1:14">
      <c r="A161" s="280"/>
      <c r="B161" s="280"/>
      <c r="C161" s="280"/>
      <c r="D161" s="280"/>
      <c r="E161" s="280"/>
      <c r="F161" s="280"/>
      <c r="G161" s="341" t="s">
        <v>134</v>
      </c>
      <c r="H161" s="354">
        <f>IF(J45=J46,0,IF(J45="NH3",IF(D106=0,'NH3 reconversion'!L5,'NH3 reconversion'!L6),IF(J45="LH2",IF(D106=0,Regasification!L6,Regasification!L7),0)))</f>
        <v>0</v>
      </c>
      <c r="I161" s="280"/>
      <c r="J161" s="280"/>
      <c r="K161" s="343">
        <f>IFERROR(H161/$H$157,0)</f>
        <v>0</v>
      </c>
      <c r="L161" s="280"/>
      <c r="M161" s="280"/>
      <c r="N161" s="280"/>
    </row>
    <row r="162" spans="1:14" ht="17" thickBot="1">
      <c r="A162" s="280"/>
      <c r="B162" s="280"/>
      <c r="C162" s="280"/>
      <c r="D162" s="280"/>
      <c r="E162" s="280"/>
      <c r="F162" s="280"/>
      <c r="G162" s="344" t="s">
        <v>126</v>
      </c>
      <c r="H162" s="359">
        <f>IF(B153="gH2",Compression!K9,IF(B153=J45,0,IF(B153="LH2",IF(D106=0,Liquefaction!L11,Liquefaction!L12),IF(B153="NH3",IF(D106=0,'NH3 conversion'!L5,'NH3 conversion'!L6),0))))</f>
        <v>2.2280852421609141</v>
      </c>
      <c r="I162" s="280"/>
      <c r="J162" s="280"/>
      <c r="K162" s="343">
        <f>IFERROR(H162/$H$157,0)</f>
        <v>1</v>
      </c>
      <c r="L162" s="280"/>
      <c r="M162" s="280"/>
      <c r="N162" s="280"/>
    </row>
  </sheetData>
  <sheetProtection algorithmName="SHA-512" hashValue="iM5VyDNWoZRRYmxUjxsHPC2ecIGG9NYJeHZUfY0qhmlZm0kA3EOW+BWKn4tGZu8RyYxhF4mM8Mqosv1sokN0jg==" saltValue="i97mSOGqDN2ULbht+9pPsQ==" spinCount="100000" sheet="1" objects="1" scenarios="1"/>
  <mergeCells count="78">
    <mergeCell ref="A98:B98"/>
    <mergeCell ref="A95:N95"/>
    <mergeCell ref="A114:C114"/>
    <mergeCell ref="C115:C118"/>
    <mergeCell ref="A104:D104"/>
    <mergeCell ref="A112:N112"/>
    <mergeCell ref="A111:N111"/>
    <mergeCell ref="G102:G104"/>
    <mergeCell ref="H102:H104"/>
    <mergeCell ref="G105:H105"/>
    <mergeCell ref="A96:N96"/>
    <mergeCell ref="C20:D22"/>
    <mergeCell ref="A49:N50"/>
    <mergeCell ref="A52:N52"/>
    <mergeCell ref="B20:B22"/>
    <mergeCell ref="K20:K22"/>
    <mergeCell ref="L20:L22"/>
    <mergeCell ref="A20:A23"/>
    <mergeCell ref="A27:N27"/>
    <mergeCell ref="E20:H22"/>
    <mergeCell ref="E23:H23"/>
    <mergeCell ref="I20:J22"/>
    <mergeCell ref="I23:J23"/>
    <mergeCell ref="C23:D23"/>
    <mergeCell ref="G61:H61"/>
    <mergeCell ref="H82:H84"/>
    <mergeCell ref="A29:A31"/>
    <mergeCell ref="A54:B54"/>
    <mergeCell ref="C54:D54"/>
    <mergeCell ref="B29:B31"/>
    <mergeCell ref="D29:N29"/>
    <mergeCell ref="G58:G60"/>
    <mergeCell ref="G82:G84"/>
    <mergeCell ref="H58:H60"/>
    <mergeCell ref="A85:D85"/>
    <mergeCell ref="A79:B79"/>
    <mergeCell ref="C79:D79"/>
    <mergeCell ref="A75:N75"/>
    <mergeCell ref="A63:C63"/>
    <mergeCell ref="C64:C69"/>
    <mergeCell ref="A74:N74"/>
    <mergeCell ref="G85:H85"/>
    <mergeCell ref="A1:C1"/>
    <mergeCell ref="C3:C5"/>
    <mergeCell ref="A2:B2"/>
    <mergeCell ref="A3:B3"/>
    <mergeCell ref="A4:B4"/>
    <mergeCell ref="A5:B5"/>
    <mergeCell ref="G160:H160"/>
    <mergeCell ref="G116:G118"/>
    <mergeCell ref="H116:H118"/>
    <mergeCell ref="G119:H119"/>
    <mergeCell ref="A144:C144"/>
    <mergeCell ref="C145:C146"/>
    <mergeCell ref="G133:G135"/>
    <mergeCell ref="H133:H135"/>
    <mergeCell ref="G136:H136"/>
    <mergeCell ref="A150:N150"/>
    <mergeCell ref="A126:N126"/>
    <mergeCell ref="A127:N127"/>
    <mergeCell ref="C121:C124"/>
    <mergeCell ref="A120:C120"/>
    <mergeCell ref="E2:H4"/>
    <mergeCell ref="E5:H5"/>
    <mergeCell ref="A151:N151"/>
    <mergeCell ref="G157:G159"/>
    <mergeCell ref="H157:H159"/>
    <mergeCell ref="E7:F7"/>
    <mergeCell ref="I7:K7"/>
    <mergeCell ref="C18:D18"/>
    <mergeCell ref="A7:B7"/>
    <mergeCell ref="C7:D7"/>
    <mergeCell ref="G10:G14"/>
    <mergeCell ref="E17:F17"/>
    <mergeCell ref="A14:B18"/>
    <mergeCell ref="A11:B12"/>
    <mergeCell ref="K16:K17"/>
    <mergeCell ref="A25:C25"/>
  </mergeCells>
  <phoneticPr fontId="11" type="noConversion"/>
  <dataValidations count="6">
    <dataValidation type="list" allowBlank="1" showInputMessage="1" showErrorMessage="1" sqref="A9" xr:uid="{5E067C63-11CC-AF40-9BC7-B221E80C2A27}">
      <formula1>ProjStartingYear</formula1>
    </dataValidation>
    <dataValidation type="list" allowBlank="1" showInputMessage="1" showErrorMessage="1" sqref="E9" xr:uid="{2AF542EA-B7FA-D943-9442-FD420AB8839D}">
      <formula1>$B$81:$B$82</formula1>
    </dataValidation>
    <dataValidation type="list" allowBlank="1" showInputMessage="1" showErrorMessage="1" sqref="F9" xr:uid="{8F54DF67-BF60-CA49-940B-6634855F4937}">
      <formula1>$C$81:$C$82</formula1>
    </dataValidation>
    <dataValidation type="list" allowBlank="1" showInputMessage="1" showErrorMessage="1" sqref="H9" xr:uid="{A31CDE4B-CE8D-AE44-9710-00304632E583}">
      <formula1>$B$100:$B$101</formula1>
    </dataValidation>
    <dataValidation type="list" allowBlank="1" showInputMessage="1" showErrorMessage="1" sqref="K15" xr:uid="{6DC6D1F2-7299-7043-BBA8-389647BCD792}">
      <formula1>"Tank - Type I, Tank - Type II, Tank - Type III, Tank - Type IV, Geological - Depleted NG or Oil Reservoir, Geological - Salt cavern, Geological - Lined rock cavern"</formula1>
    </dataValidation>
    <dataValidation type="list" allowBlank="1" showInputMessage="1" showErrorMessage="1" sqref="L9" xr:uid="{83416A70-2D51-4A4C-B015-B062C1135347}">
      <formula1>"gH2, LH2, NH3"</formula1>
    </dataValidation>
  </dataValidations>
  <hyperlinks>
    <hyperlink ref="A11:B12" r:id="rId1" location="what-is-coolprop" display="CoolProp can be used in the tool to have a better approximation of the different fluid properties and can be installed at the link" xr:uid="{61654300-A9B9-AE47-A94F-B77E3B137611}"/>
    <hyperlink ref="I12" location="'Intermediate storage'!A1" display="'Intermediate storage'!A1" xr:uid="{EBA18A87-6851-EF4C-A577-3CAFA76ED3B8}"/>
    <hyperlink ref="I12" location="'Intermediate storage'!D23" display="Change default capacity" xr:uid="{05C2DD8E-ADC5-4C43-9E0A-AA3BC08B52CF}"/>
    <hyperlink ref="C115:C118" location="IntStorage!A16" display="Change default values" xr:uid="{E4A6A74E-93E0-40FA-BEAC-5B9C7334196E}"/>
    <hyperlink ref="C121:C124" location="IntStorage!A42" display="Change default values" xr:uid="{56768E57-AEB0-4752-9C79-6126EF0ADC5D}"/>
    <hyperlink ref="C145:C146" location="FinalStorage!A15" display="Change default value" xr:uid="{1BEA62D5-F647-0F4B-B825-BAD0FD613DA4}"/>
    <hyperlink ref="D25:E25" location="CoolProp!A1" display="Click here to update CoolProp links" xr:uid="{14952005-1BF3-FC4E-8868-3FAB411DC323}"/>
    <hyperlink ref="D25" location="CoolProp!A1" display="Click here to update CoolProp links" xr:uid="{887171AA-DC50-4D49-B100-FA20C3423206}"/>
    <hyperlink ref="E5:H5" location="HOME!I39" display="Link table" xr:uid="{1FB88388-DDAF-D34B-AA00-F5A862FCA594}"/>
  </hyperlinks>
  <pageMargins left="0.7" right="0.7" top="0.75" bottom="0.75" header="0.3" footer="0.3"/>
  <pageSetup paperSize="9" orientation="portrait" r:id="rId2"/>
  <drawing r:id="rId3"/>
  <legacyDrawing r:id="rId4"/>
  <extLst>
    <ext xmlns:x14="http://schemas.microsoft.com/office/spreadsheetml/2009/9/main" uri="{CCE6A557-97BC-4b89-ADB6-D9C93CAAB3DF}">
      <x14:dataValidations xmlns:xm="http://schemas.microsoft.com/office/excel/2006/main" count="11">
        <x14:dataValidation type="list" allowBlank="1" showInputMessage="1" showErrorMessage="1" xr:uid="{A522EB86-85C2-594B-8695-8B8C39A632A8}">
          <x14:formula1>
            <xm:f>'List DB'!$A$29:$A$31</xm:f>
          </x14:formula1>
          <xm:sqref>D9</xm:sqref>
        </x14:dataValidation>
        <x14:dataValidation type="list" allowBlank="1" showInputMessage="1" showErrorMessage="1" xr:uid="{5541DCB8-99DD-104D-8DC8-001B30EFC214}">
          <x14:formula1>
            <xm:f>'List DB'!$A$2:$A$4</xm:f>
          </x14:formula1>
          <xm:sqref>B9</xm:sqref>
        </x14:dataValidation>
        <x14:dataValidation type="list" allowBlank="1" showInputMessage="1" showErrorMessage="1" xr:uid="{72A9786D-AC55-1F44-9D49-B37CF6A257FD}">
          <x14:formula1>
            <xm:f>'List DB'!$A$11:$A$23</xm:f>
          </x14:formula1>
          <xm:sqref>C9</xm:sqref>
        </x14:dataValidation>
        <x14:dataValidation type="list" allowBlank="1" showInputMessage="1" showErrorMessage="1" xr:uid="{EE8B0D7D-7E14-A848-86B1-F73722735E4A}">
          <x14:formula1>
            <xm:f>'List DB'!$U$11:$U$12</xm:f>
          </x14:formula1>
          <xm:sqref>G15</xm:sqref>
        </x14:dataValidation>
        <x14:dataValidation type="list" allowBlank="1" showInputMessage="1" showErrorMessage="1" xr:uid="{74C37211-260D-B34A-95A1-49EA0FDE5AA4}">
          <x14:formula1>
            <xm:f>'List DB'!$W$11:$W$12</xm:f>
          </x14:formula1>
          <xm:sqref>C77</xm:sqref>
        </x14:dataValidation>
        <x14:dataValidation type="list" allowBlank="1" showInputMessage="1" showErrorMessage="1" xr:uid="{A4553057-6C51-FC49-8D2C-6706313EFA7C}">
          <x14:formula1>
            <xm:f>'List DB'!$M$2:$M$3</xm:f>
          </x14:formula1>
          <xm:sqref>B13 I9:K9</xm:sqref>
        </x14:dataValidation>
        <x14:dataValidation type="list" allowBlank="1" showInputMessage="1" showErrorMessage="1" xr:uid="{41A7A99B-69A2-F343-AC5B-F82BE9E4593D}">
          <x14:formula1>
            <xm:f>'List DB'!$A$66:$A$71</xm:f>
          </x14:formula1>
          <xm:sqref>D14</xm:sqref>
        </x14:dataValidation>
        <x14:dataValidation type="list" allowBlank="1" showInputMessage="1" showErrorMessage="1" xr:uid="{112B5858-95FE-B847-AEA4-B682B6E6AA03}">
          <x14:formula1>
            <xm:f>'List DB'!$C$66:$C$68</xm:f>
          </x14:formula1>
          <xm:sqref>D15</xm:sqref>
        </x14:dataValidation>
        <x14:dataValidation type="list" allowBlank="1" showInputMessage="1" showErrorMessage="1" xr:uid="{46FF4449-D8AF-6949-ABED-DAB2DFAB854C}">
          <x14:formula1>
            <xm:f>'List DB'!$E$66:$E$67</xm:f>
          </x14:formula1>
          <xm:sqref>E12</xm:sqref>
        </x14:dataValidation>
        <x14:dataValidation type="list" allowBlank="1" showInputMessage="1" showErrorMessage="1" xr:uid="{0776176C-9CFE-6549-A64E-C53EEBD8A1C7}">
          <x14:formula1>
            <xm:f>'List DB'!$G$66:$G$67</xm:f>
          </x14:formula1>
          <xm:sqref>F12</xm:sqref>
        </x14:dataValidation>
        <x14:dataValidation type="list" allowBlank="1" showInputMessage="1" showErrorMessage="1" xr:uid="{50A11D59-4126-1445-893B-1FC803FF7FAE}">
          <x14:formula1>
            <xm:f>'List DB'!$I$66:$I$68</xm:f>
          </x14:formula1>
          <xm:sqref>H12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4E3D-A7D0-A94F-9027-E51B8BB35FE8}">
  <sheetPr>
    <tabColor theme="8" tint="0.79998168889431442"/>
  </sheetPr>
  <dimension ref="A1:X19"/>
  <sheetViews>
    <sheetView zoomScale="66" zoomScaleNormal="60" workbookViewId="0">
      <selection activeCell="W3" sqref="W3"/>
    </sheetView>
  </sheetViews>
  <sheetFormatPr baseColWidth="10" defaultColWidth="10.83203125" defaultRowHeight="16"/>
  <cols>
    <col min="1" max="2" width="10.83203125" style="2"/>
    <col min="3" max="3" width="12.83203125" style="2" customWidth="1"/>
    <col min="4" max="4" width="10.83203125" style="2"/>
    <col min="5" max="5" width="13.5" style="2" customWidth="1"/>
    <col min="6" max="6" width="10.83203125" style="2"/>
    <col min="7" max="7" width="25.5" style="2" customWidth="1"/>
    <col min="8" max="10" width="10.83203125" style="2"/>
    <col min="11" max="11" width="11.83203125" style="2" bestFit="1" customWidth="1"/>
    <col min="12" max="12" width="10.83203125" style="2"/>
    <col min="13" max="13" width="25.5" style="2" bestFit="1" customWidth="1"/>
    <col min="14" max="16" width="10.83203125" style="2"/>
    <col min="17" max="17" width="19.83203125" style="2" bestFit="1" customWidth="1"/>
    <col min="18" max="20" width="10.83203125" style="2"/>
    <col min="21" max="21" width="40.83203125" style="2" bestFit="1" customWidth="1"/>
    <col min="22" max="23" width="10.83203125" style="2"/>
    <col min="24" max="24" width="45" style="2" bestFit="1" customWidth="1"/>
    <col min="25" max="16384" width="10.83203125" style="2"/>
  </cols>
  <sheetData>
    <row r="1" spans="1:24" ht="17" thickBot="1">
      <c r="A1" s="1039" t="str">
        <f>"LCOEs - "&amp;HOME!C9</f>
        <v>LCOEs - Spain</v>
      </c>
      <c r="B1" s="1040"/>
      <c r="C1" s="1040"/>
      <c r="D1" s="1040"/>
      <c r="E1" s="1040"/>
      <c r="F1" s="1040"/>
      <c r="G1" s="1041"/>
      <c r="H1"/>
      <c r="I1"/>
      <c r="J1" s="454" t="s">
        <v>715</v>
      </c>
      <c r="K1" s="455" t="s">
        <v>716</v>
      </c>
      <c r="L1" s="454" t="s">
        <v>667</v>
      </c>
      <c r="M1" s="456" t="s">
        <v>156</v>
      </c>
      <c r="N1" s="68" t="s">
        <v>245</v>
      </c>
      <c r="O1" s="455" t="s">
        <v>667</v>
      </c>
      <c r="P1" s="454" t="s">
        <v>668</v>
      </c>
      <c r="Q1" s="456" t="s">
        <v>156</v>
      </c>
      <c r="R1" s="68" t="s">
        <v>245</v>
      </c>
      <c r="S1" s="495" t="s">
        <v>668</v>
      </c>
      <c r="T1" s="496" t="s">
        <v>669</v>
      </c>
      <c r="U1" s="497" t="s">
        <v>156</v>
      </c>
      <c r="V1" s="69" t="s">
        <v>245</v>
      </c>
      <c r="W1" s="495" t="s">
        <v>669</v>
      </c>
      <c r="X1" s="499" t="s">
        <v>248</v>
      </c>
    </row>
    <row r="2" spans="1:24" ht="18">
      <c r="A2" s="893"/>
      <c r="B2" s="894" t="s">
        <v>717</v>
      </c>
      <c r="C2" s="894" t="s">
        <v>718</v>
      </c>
      <c r="D2" s="894" t="s">
        <v>717</v>
      </c>
      <c r="E2" s="894" t="s">
        <v>718</v>
      </c>
      <c r="F2" s="894" t="s">
        <v>717</v>
      </c>
      <c r="G2" s="895" t="s">
        <v>718</v>
      </c>
      <c r="J2" s="457" t="s">
        <v>719</v>
      </c>
      <c r="K2" s="458" t="s">
        <v>717</v>
      </c>
      <c r="L2" s="459">
        <v>750</v>
      </c>
      <c r="M2" s="460" t="s">
        <v>720</v>
      </c>
      <c r="N2" s="675"/>
      <c r="O2" s="478">
        <f>IF(ISBLANK(N2),L2,N2)</f>
        <v>750</v>
      </c>
      <c r="P2" s="479">
        <v>1218</v>
      </c>
      <c r="Q2" s="460" t="s">
        <v>720</v>
      </c>
      <c r="R2" s="675"/>
      <c r="S2" s="478">
        <f>IF(ISBLANK(R2),P2,R2)</f>
        <v>1218</v>
      </c>
      <c r="T2" s="459">
        <v>3126</v>
      </c>
      <c r="U2" s="460" t="s">
        <v>720</v>
      </c>
      <c r="V2" s="675"/>
      <c r="W2" s="478">
        <f>IF(ISBLANK(V2),T2,V2)</f>
        <v>3126</v>
      </c>
      <c r="X2" s="500" t="s">
        <v>721</v>
      </c>
    </row>
    <row r="3" spans="1:24" ht="18">
      <c r="A3" s="896"/>
      <c r="B3" s="364" t="str">
        <f>Tb_LCOE[[#Headers],[CAPEX Solar]]</f>
        <v>CAPEX Solar</v>
      </c>
      <c r="C3" s="364" t="str">
        <f>Tb_LCOE[[#Headers],[LCOESolar]]</f>
        <v>LCOESolar</v>
      </c>
      <c r="D3" s="364" t="str">
        <f>Tb_LCOE[[#Headers],[CAPEX OnW]]</f>
        <v>CAPEX OnW</v>
      </c>
      <c r="E3" s="364" t="str">
        <f>Tb_LCOE[[#Headers],[LCOEOnshore wind]]</f>
        <v>LCOEOnshore wind</v>
      </c>
      <c r="F3" s="364" t="str">
        <f>Tb_LCOE[[#Headers],[CAPEX OffW]]</f>
        <v>CAPEX OffW</v>
      </c>
      <c r="G3" s="897" t="str">
        <f>Tb_LCOE[[#Headers],[LCOEOffshore wind]]</f>
        <v>LCOEOffshore wind</v>
      </c>
      <c r="J3" s="461" t="s">
        <v>722</v>
      </c>
      <c r="K3" s="462" t="s">
        <v>717</v>
      </c>
      <c r="L3" s="335">
        <v>435</v>
      </c>
      <c r="M3" s="463" t="s">
        <v>720</v>
      </c>
      <c r="N3" s="676"/>
      <c r="O3" s="480">
        <f t="shared" ref="O3:O12" si="0">IF(ISBLANK(N3),L3,N3)</f>
        <v>435</v>
      </c>
      <c r="P3" s="481">
        <v>924</v>
      </c>
      <c r="Q3" s="463" t="s">
        <v>720</v>
      </c>
      <c r="R3" s="682"/>
      <c r="S3" s="480">
        <f t="shared" ref="S3:S9" si="1">IF(ISBLANK(R3),P3,R3)</f>
        <v>924</v>
      </c>
      <c r="T3" s="335">
        <v>2314</v>
      </c>
      <c r="U3" s="463" t="s">
        <v>720</v>
      </c>
      <c r="V3" s="676"/>
      <c r="W3" s="480">
        <f t="shared" ref="W3:W10" si="2">IF(ISBLANK(V3),T3,V3)</f>
        <v>2314</v>
      </c>
      <c r="X3" s="501" t="s">
        <v>723</v>
      </c>
    </row>
    <row r="4" spans="1:24">
      <c r="A4" s="896"/>
      <c r="B4" s="364">
        <v>1</v>
      </c>
      <c r="C4" s="364">
        <v>2</v>
      </c>
      <c r="D4" s="364">
        <v>3</v>
      </c>
      <c r="E4" s="364">
        <v>4</v>
      </c>
      <c r="F4" s="364">
        <v>5</v>
      </c>
      <c r="G4" s="897">
        <v>6</v>
      </c>
      <c r="J4" s="464" t="s">
        <v>724</v>
      </c>
      <c r="K4" s="465" t="s">
        <v>160</v>
      </c>
      <c r="L4" s="466">
        <v>0.18</v>
      </c>
      <c r="M4" s="463" t="s">
        <v>725</v>
      </c>
      <c r="N4" s="676"/>
      <c r="O4" s="482">
        <f t="shared" si="0"/>
        <v>0.18</v>
      </c>
      <c r="P4" s="483">
        <v>9.8000000000000004E-2</v>
      </c>
      <c r="Q4" s="463" t="s">
        <v>726</v>
      </c>
      <c r="R4" s="674"/>
      <c r="S4" s="482">
        <f t="shared" si="1"/>
        <v>9.8000000000000004E-2</v>
      </c>
      <c r="T4" s="469">
        <f>1-2^W5</f>
        <v>0.14820063856457621</v>
      </c>
      <c r="U4" s="468" t="s">
        <v>426</v>
      </c>
      <c r="V4" s="677"/>
      <c r="W4" s="486">
        <f>IF(ISBLANK(V4),T4,V4)</f>
        <v>0.14820063856457621</v>
      </c>
      <c r="X4" s="501" t="s">
        <v>727</v>
      </c>
    </row>
    <row r="5" spans="1:24" ht="19" thickBot="1">
      <c r="A5" s="898" t="s">
        <v>530</v>
      </c>
      <c r="B5" s="844" t="s">
        <v>728</v>
      </c>
      <c r="C5" s="844" t="s">
        <v>729</v>
      </c>
      <c r="D5" s="844" t="s">
        <v>730</v>
      </c>
      <c r="E5" s="844" t="s">
        <v>731</v>
      </c>
      <c r="F5" s="844" t="s">
        <v>732</v>
      </c>
      <c r="G5" s="899" t="s">
        <v>733</v>
      </c>
      <c r="J5" s="464" t="s">
        <v>734</v>
      </c>
      <c r="K5" s="465" t="s">
        <v>160</v>
      </c>
      <c r="L5" s="467">
        <f>LOG(1-O4,2)</f>
        <v>-0.28630418515664091</v>
      </c>
      <c r="M5" s="468" t="s">
        <v>426</v>
      </c>
      <c r="N5" s="677"/>
      <c r="O5" s="484">
        <f t="shared" si="0"/>
        <v>-0.28630418515664091</v>
      </c>
      <c r="P5" s="485">
        <f>LOG(1-S4,2)</f>
        <v>-0.14880066140670606</v>
      </c>
      <c r="Q5" s="468" t="s">
        <v>426</v>
      </c>
      <c r="R5" s="683"/>
      <c r="S5" s="484">
        <f t="shared" si="1"/>
        <v>-0.14880066140670606</v>
      </c>
      <c r="T5" s="467">
        <f>-LOG(W2/W3,1+W6)/(2030-2017)</f>
        <v>-0.23141444653737539</v>
      </c>
      <c r="U5" s="468" t="s">
        <v>426</v>
      </c>
      <c r="V5" s="677"/>
      <c r="W5" s="484">
        <f>IF(ISBLANK(V5),T5,V5)</f>
        <v>-0.23141444653737539</v>
      </c>
      <c r="X5" s="502" t="s">
        <v>735</v>
      </c>
    </row>
    <row r="6" spans="1:24">
      <c r="A6" s="900">
        <v>2017</v>
      </c>
      <c r="B6" s="901">
        <f t="shared" ref="B6:B19" si="3">$O$2*(1+$O$6)^($O$5*(A6-$A$6))</f>
        <v>750</v>
      </c>
      <c r="C6" s="901">
        <f>(O$10+O$7)*B6/$O$12/8760*1000</f>
        <v>39.600506125462786</v>
      </c>
      <c r="D6" s="901">
        <f t="shared" ref="D6:D19" si="4">$S$2*(1+$S$6)^($S$5*(A6-$A$6))</f>
        <v>1218</v>
      </c>
      <c r="E6" s="901">
        <f t="shared" ref="E6:E19" si="5">(S$10+S$7)*D6/$S$12/8760*1000</f>
        <v>51.793894757539285</v>
      </c>
      <c r="F6" s="901">
        <f t="shared" ref="F6:F19" si="6">$W$2*(1+$W$6)^($W$5*(A6-$A$6))</f>
        <v>3126</v>
      </c>
      <c r="G6" s="902">
        <f t="shared" ref="G6:G19" si="7">(W$10+W$7)*F6/$W$12/8760*1000</f>
        <v>123.00023984499148</v>
      </c>
      <c r="J6" s="464" t="s">
        <v>736</v>
      </c>
      <c r="K6" s="465" t="s">
        <v>160</v>
      </c>
      <c r="L6" s="469">
        <f>(O3/O2)^(1/O5/(2030-2017))-1</f>
        <v>0.15760723301563906</v>
      </c>
      <c r="M6" s="468" t="s">
        <v>426</v>
      </c>
      <c r="N6" s="677"/>
      <c r="O6" s="486">
        <f t="shared" si="0"/>
        <v>0.15760723301563906</v>
      </c>
      <c r="P6" s="487">
        <f>(S3/S2)^(1/S5/(2030-2017))-1</f>
        <v>0.15351090286358349</v>
      </c>
      <c r="Q6" s="468" t="s">
        <v>426</v>
      </c>
      <c r="R6" s="683"/>
      <c r="S6" s="486">
        <f t="shared" si="1"/>
        <v>0.15351090286358349</v>
      </c>
      <c r="T6" s="498">
        <f>((140.74*2030^2-564911.49*2030+566878201)/(140.74*2017^2-564911.49*2017+566878201))^(1/(2030-2017))-1</f>
        <v>0.10514807667161863</v>
      </c>
      <c r="U6" s="463" t="s">
        <v>737</v>
      </c>
      <c r="V6" s="676"/>
      <c r="W6" s="482">
        <f t="shared" si="2"/>
        <v>0.10514807667161863</v>
      </c>
      <c r="X6" s="501" t="s">
        <v>738</v>
      </c>
    </row>
    <row r="7" spans="1:24">
      <c r="A7" s="666">
        <v>2018</v>
      </c>
      <c r="B7" s="903">
        <f>$O$2*(1+$O$6)^($O$5*(A7-$A$6))</f>
        <v>719.22275078060773</v>
      </c>
      <c r="C7" s="903">
        <f t="shared" ref="C7:C19" si="8">(O$10+O$7)*B7/$O$12/8760*1000</f>
        <v>37.975446597146195</v>
      </c>
      <c r="D7" s="903">
        <f t="shared" si="4"/>
        <v>1192.3902542270732</v>
      </c>
      <c r="E7" s="903">
        <f t="shared" si="5"/>
        <v>50.704873019172858</v>
      </c>
      <c r="F7" s="903">
        <f t="shared" si="6"/>
        <v>3054.5050616309472</v>
      </c>
      <c r="G7" s="902">
        <f t="shared" si="7"/>
        <v>120.18709379025815</v>
      </c>
      <c r="J7" s="464" t="s">
        <v>301</v>
      </c>
      <c r="K7" s="465" t="s">
        <v>739</v>
      </c>
      <c r="L7" s="470">
        <v>1.4999999999999999E-2</v>
      </c>
      <c r="M7" s="463" t="s">
        <v>720</v>
      </c>
      <c r="N7" s="678"/>
      <c r="O7" s="488">
        <f t="shared" si="0"/>
        <v>1.4999999999999999E-2</v>
      </c>
      <c r="P7" s="489">
        <v>2.5000000000000001E-2</v>
      </c>
      <c r="Q7" s="463" t="s">
        <v>720</v>
      </c>
      <c r="R7" s="684"/>
      <c r="S7" s="488">
        <f t="shared" si="1"/>
        <v>2.5000000000000001E-2</v>
      </c>
      <c r="T7" s="470">
        <v>3.5000000000000003E-2</v>
      </c>
      <c r="U7" s="463" t="s">
        <v>720</v>
      </c>
      <c r="V7" s="678"/>
      <c r="W7" s="488">
        <f t="shared" si="2"/>
        <v>3.5000000000000003E-2</v>
      </c>
      <c r="X7" s="501" t="s">
        <v>740</v>
      </c>
    </row>
    <row r="8" spans="1:24">
      <c r="A8" s="666">
        <v>2019</v>
      </c>
      <c r="B8" s="903">
        <f t="shared" si="3"/>
        <v>689.70848698723228</v>
      </c>
      <c r="C8" s="903">
        <f>(O$10+O$7)*B8/$O$12/8760*1000</f>
        <v>36.417073551628739</v>
      </c>
      <c r="D8" s="903">
        <f t="shared" si="4"/>
        <v>1167.3189806040268</v>
      </c>
      <c r="E8" s="903">
        <f t="shared" si="5"/>
        <v>49.638749121414612</v>
      </c>
      <c r="F8" s="903">
        <f t="shared" si="6"/>
        <v>2984.6452883970178</v>
      </c>
      <c r="G8" s="902">
        <f t="shared" si="7"/>
        <v>117.43828737205915</v>
      </c>
      <c r="J8" s="464" t="s">
        <v>211</v>
      </c>
      <c r="K8" s="465" t="s">
        <v>160</v>
      </c>
      <c r="L8" s="466">
        <f>(7%+1)/(1+'General values'!R9)-1</f>
        <v>5.1261267899688212E-2</v>
      </c>
      <c r="M8" s="463" t="s">
        <v>720</v>
      </c>
      <c r="N8" s="678"/>
      <c r="O8" s="482">
        <f t="shared" si="0"/>
        <v>5.1261267899688212E-2</v>
      </c>
      <c r="P8" s="483">
        <f>(7%+1)/(1+'General values'!R9)-1</f>
        <v>5.1261267899688212E-2</v>
      </c>
      <c r="Q8" s="463" t="s">
        <v>720</v>
      </c>
      <c r="R8" s="684"/>
      <c r="S8" s="482">
        <f t="shared" si="1"/>
        <v>5.1261267899688212E-2</v>
      </c>
      <c r="T8" s="466">
        <f>(7%+1)/(1+'General values'!R9)-1</f>
        <v>5.1261267899688212E-2</v>
      </c>
      <c r="U8" s="463" t="s">
        <v>720</v>
      </c>
      <c r="V8" s="676"/>
      <c r="W8" s="482">
        <f t="shared" si="2"/>
        <v>5.1261267899688212E-2</v>
      </c>
      <c r="X8" s="501" t="s">
        <v>371</v>
      </c>
    </row>
    <row r="9" spans="1:24">
      <c r="A9" s="666">
        <v>2020</v>
      </c>
      <c r="B9" s="903">
        <f t="shared" si="3"/>
        <v>661.40538033025086</v>
      </c>
      <c r="C9" s="903">
        <f t="shared" si="8"/>
        <v>34.92265042024286</v>
      </c>
      <c r="D9" s="903">
        <f t="shared" si="4"/>
        <v>1142.7748571810537</v>
      </c>
      <c r="E9" s="903">
        <f t="shared" si="5"/>
        <v>48.595041612805808</v>
      </c>
      <c r="F9" s="903">
        <f t="shared" si="6"/>
        <v>2916.3832823357802</v>
      </c>
      <c r="G9" s="902">
        <f t="shared" si="7"/>
        <v>114.75234907460795</v>
      </c>
      <c r="J9" s="464" t="s">
        <v>741</v>
      </c>
      <c r="K9" s="465" t="s">
        <v>207</v>
      </c>
      <c r="L9" s="335">
        <v>30</v>
      </c>
      <c r="M9" s="463" t="s">
        <v>720</v>
      </c>
      <c r="N9" s="676"/>
      <c r="O9" s="480">
        <f t="shared" si="0"/>
        <v>30</v>
      </c>
      <c r="P9" s="481">
        <v>25</v>
      </c>
      <c r="Q9" s="463" t="s">
        <v>720</v>
      </c>
      <c r="R9" s="682"/>
      <c r="S9" s="480">
        <f t="shared" si="1"/>
        <v>25</v>
      </c>
      <c r="T9" s="335">
        <v>25</v>
      </c>
      <c r="U9" s="463" t="s">
        <v>720</v>
      </c>
      <c r="V9" s="676"/>
      <c r="W9" s="480">
        <f t="shared" si="2"/>
        <v>25</v>
      </c>
      <c r="X9" s="501" t="s">
        <v>342</v>
      </c>
    </row>
    <row r="10" spans="1:24">
      <c r="A10" s="666">
        <v>2021</v>
      </c>
      <c r="B10" s="903">
        <f t="shared" si="3"/>
        <v>634.26372936295616</v>
      </c>
      <c r="C10" s="903">
        <f t="shared" si="8"/>
        <v>33.489552933062157</v>
      </c>
      <c r="D10" s="903">
        <f t="shared" si="4"/>
        <v>1118.7468000643876</v>
      </c>
      <c r="E10" s="903">
        <f t="shared" si="5"/>
        <v>47.573279164916855</v>
      </c>
      <c r="F10" s="903">
        <f t="shared" si="6"/>
        <v>2849.6825008159044</v>
      </c>
      <c r="G10" s="902">
        <f t="shared" si="7"/>
        <v>112.12784103724611</v>
      </c>
      <c r="J10" s="464" t="s">
        <v>742</v>
      </c>
      <c r="K10" s="465" t="s">
        <v>160</v>
      </c>
      <c r="L10" s="471">
        <f>O8/(1-(O8+1)^-O9)</f>
        <v>6.5989687911600467E-2</v>
      </c>
      <c r="M10" s="472" t="s">
        <v>426</v>
      </c>
      <c r="N10" s="679"/>
      <c r="O10" s="490">
        <f t="shared" si="0"/>
        <v>6.5989687911600467E-2</v>
      </c>
      <c r="P10" s="491">
        <f>S8/(1-(S8+1)^-S9)</f>
        <v>7.1852031773211394E-2</v>
      </c>
      <c r="Q10" s="472" t="s">
        <v>426</v>
      </c>
      <c r="R10" s="679"/>
      <c r="S10" s="490">
        <f>IF(ISBLANK(R10),P10,R10)</f>
        <v>7.1852031773211394E-2</v>
      </c>
      <c r="T10" s="471">
        <f>W8/(1-(W8+1)^-W9)</f>
        <v>7.1852031773211394E-2</v>
      </c>
      <c r="U10" s="472" t="s">
        <v>426</v>
      </c>
      <c r="V10" s="679"/>
      <c r="W10" s="490">
        <f t="shared" si="2"/>
        <v>7.1852031773211394E-2</v>
      </c>
      <c r="X10" s="502" t="s">
        <v>289</v>
      </c>
    </row>
    <row r="11" spans="1:24">
      <c r="A11" s="904">
        <v>2022</v>
      </c>
      <c r="B11" s="905">
        <f t="shared" si="3"/>
        <v>608.23587220372292</v>
      </c>
      <c r="C11" s="906">
        <f t="shared" si="8"/>
        <v>32.11526451057297</v>
      </c>
      <c r="D11" s="905">
        <f t="shared" si="4"/>
        <v>1095.2239584109193</v>
      </c>
      <c r="E11" s="906">
        <f t="shared" si="5"/>
        <v>46.57300035949978</v>
      </c>
      <c r="F11" s="905">
        <f t="shared" si="6"/>
        <v>2784.5072369748291</v>
      </c>
      <c r="G11" s="907">
        <f t="shared" si="7"/>
        <v>109.56335828471481</v>
      </c>
      <c r="J11" s="464"/>
      <c r="K11" s="473"/>
      <c r="L11" s="367"/>
      <c r="M11" s="367"/>
      <c r="N11" s="680"/>
      <c r="O11" s="492"/>
      <c r="P11" s="367"/>
      <c r="Q11" s="367"/>
      <c r="R11" s="680"/>
      <c r="S11" s="492"/>
      <c r="T11" s="367"/>
      <c r="U11" s="367"/>
      <c r="V11" s="680"/>
      <c r="W11" s="492"/>
      <c r="X11" s="501"/>
    </row>
    <row r="12" spans="1:24" ht="17" thickBot="1">
      <c r="A12" s="904">
        <v>2023</v>
      </c>
      <c r="B12" s="905">
        <f t="shared" si="3"/>
        <v>583.27610283973843</v>
      </c>
      <c r="C12" s="906">
        <f t="shared" si="8"/>
        <v>30.797371844454826</v>
      </c>
      <c r="D12" s="905">
        <f t="shared" si="4"/>
        <v>1072.1957095280604</v>
      </c>
      <c r="E12" s="906">
        <f t="shared" si="5"/>
        <v>45.593753480116185</v>
      </c>
      <c r="F12" s="905">
        <f t="shared" si="6"/>
        <v>2720.8226006038449</v>
      </c>
      <c r="G12" s="907">
        <f t="shared" si="7"/>
        <v>107.05752797503082</v>
      </c>
      <c r="J12" s="474" t="str">
        <f>"CF_"&amp;HOME!C9</f>
        <v>CF_Spain</v>
      </c>
      <c r="K12" s="475" t="s">
        <v>160</v>
      </c>
      <c r="L12" s="476" cm="1">
        <f t="array" ref="L12">IFERROR(INDEX(Tb_CSv[],MATCH("CF"&amp;L1,Tb_CSv[Parameter],0),HLOOKUP(HOME!$C$9,'Prod Data'!$AG$2:$AX$3,2,FALSE)+2),"-")</f>
        <v>0.17510000000000001</v>
      </c>
      <c r="M12" s="477" t="str" cm="1">
        <f t="array" ref="M12">IFERROR(INDEX(Tb_CSv[],MATCH("CF"&amp;L1,Tb_CSv[Parameter],0),HLOOKUP(HOME!$C$9,'Prod Data'!$AG$2:$AX$3,2,FALSE)+3),"-")</f>
        <v>Gonzalez-Aparicio et al., 2017</v>
      </c>
      <c r="N12" s="681"/>
      <c r="O12" s="493">
        <f t="shared" si="0"/>
        <v>0.17510000000000001</v>
      </c>
      <c r="P12" s="494" cm="1">
        <f t="array" ref="P12">IFERROR(INDEX(Tb_CSv[],MATCH("CF"&amp;P1,Tb_CSv[Parameter],0),HLOOKUP(HOME!$C$9,'Prod Data'!$AG$2:$AX$3,2,FALSE)+2),"-")</f>
        <v>0.26</v>
      </c>
      <c r="Q12" s="477" t="str" cm="1">
        <f t="array" ref="Q12">IFERROR(INDEX(Tb_CSv[],MATCH("CF"&amp;P1,Tb_CSv[Parameter],0),HLOOKUP(HOME!$C$9,'Prod Data'!$AG$2:$AX$3,2,FALSE)+3),"-")</f>
        <v>Dalla Longa et al., 2018</v>
      </c>
      <c r="R12" s="685"/>
      <c r="S12" s="493">
        <f t="shared" ref="S12" si="9">IF(ISBLANK(R12),P12,R12)</f>
        <v>0.26</v>
      </c>
      <c r="T12" s="476" cm="1">
        <f t="array" ref="T12">IFERROR(INDEX(Tb_CSv[],MATCH("CF"&amp;T1,Tb_CSv[Parameter],0),HLOOKUP(HOME!$C$9,'Prod Data'!$AG$2:$AX$3,2,FALSE)+2),"-")</f>
        <v>0.31</v>
      </c>
      <c r="U12" s="477" t="str" cm="1">
        <f t="array" ref="U12">IFERROR(INDEX(Tb_CSv[],MATCH("CF"&amp;T1,Tb_CSv[Parameter],0),HLOOKUP(HOME!$C$9,'Prod Data'!$AG$2:$AX$3,2,FALSE)+3),"-")</f>
        <v>Dalla Longa et al., 2018</v>
      </c>
      <c r="V12" s="681"/>
      <c r="W12" s="503">
        <f t="shared" ref="W12" si="10">IF(ISBLANK(V12),T12,V12)</f>
        <v>0.31</v>
      </c>
      <c r="X12" s="504" t="s">
        <v>743</v>
      </c>
    </row>
    <row r="13" spans="1:24">
      <c r="A13" s="904">
        <v>2024</v>
      </c>
      <c r="B13" s="905">
        <f t="shared" si="3"/>
        <v>559.34059086531909</v>
      </c>
      <c r="C13" s="906">
        <f t="shared" si="8"/>
        <v>29.533560659709384</v>
      </c>
      <c r="D13" s="905">
        <f t="shared" si="4"/>
        <v>1049.6516540766349</v>
      </c>
      <c r="E13" s="906">
        <f t="shared" si="5"/>
        <v>44.635096308146352</v>
      </c>
      <c r="F13" s="905">
        <f t="shared" si="6"/>
        <v>2658.5944994703518</v>
      </c>
      <c r="G13" s="907">
        <f t="shared" si="7"/>
        <v>104.60900866456441</v>
      </c>
    </row>
    <row r="14" spans="1:24">
      <c r="A14" s="904">
        <v>2025</v>
      </c>
      <c r="B14" s="905">
        <f t="shared" si="3"/>
        <v>536.38730451387369</v>
      </c>
      <c r="C14" s="906">
        <f t="shared" si="8"/>
        <v>28.321611650696166</v>
      </c>
      <c r="D14" s="905">
        <f t="shared" si="4"/>
        <v>1027.5816113746359</v>
      </c>
      <c r="E14" s="906">
        <f t="shared" si="5"/>
        <v>43.696595923087457</v>
      </c>
      <c r="F14" s="905">
        <f t="shared" si="6"/>
        <v>2597.7896210673016</v>
      </c>
      <c r="G14" s="907">
        <f t="shared" si="7"/>
        <v>102.21648958992564</v>
      </c>
    </row>
    <row r="15" spans="1:24">
      <c r="A15" s="904">
        <v>2026</v>
      </c>
      <c r="B15" s="905">
        <f t="shared" si="3"/>
        <v>514.37593684835156</v>
      </c>
      <c r="C15" s="906">
        <f t="shared" si="8"/>
        <v>27.159396583938403</v>
      </c>
      <c r="D15" s="905">
        <f t="shared" si="4"/>
        <v>1005.9756147997274</v>
      </c>
      <c r="E15" s="906">
        <f t="shared" si="5"/>
        <v>42.777828507050863</v>
      </c>
      <c r="F15" s="905">
        <f t="shared" si="6"/>
        <v>2538.3754147800428</v>
      </c>
      <c r="G15" s="907">
        <f t="shared" si="7"/>
        <v>99.878689966274777</v>
      </c>
      <c r="L15" s="210"/>
    </row>
    <row r="16" spans="1:24">
      <c r="A16" s="904">
        <v>2027</v>
      </c>
      <c r="B16" s="905">
        <f t="shared" si="3"/>
        <v>493.26783498056477</v>
      </c>
      <c r="C16" s="906">
        <f t="shared" si="8"/>
        <v>26.044874560855494</v>
      </c>
      <c r="D16" s="905">
        <f t="shared" si="4"/>
        <v>984.82390728840983</v>
      </c>
      <c r="E16" s="906">
        <f t="shared" si="5"/>
        <v>41.878379153369877</v>
      </c>
      <c r="F16" s="905">
        <f t="shared" si="6"/>
        <v>2480.3200744610349</v>
      </c>
      <c r="G16" s="907">
        <f t="shared" si="7"/>
        <v>97.594358301680884</v>
      </c>
    </row>
    <row r="17" spans="1:7">
      <c r="A17" s="904">
        <v>2028</v>
      </c>
      <c r="B17" s="905">
        <f t="shared" si="3"/>
        <v>473.0259321950889</v>
      </c>
      <c r="C17" s="906">
        <f t="shared" si="8"/>
        <v>24.976088433859143</v>
      </c>
      <c r="D17" s="905">
        <f t="shared" si="4"/>
        <v>964.11693692982499</v>
      </c>
      <c r="E17" s="906">
        <f t="shared" si="5"/>
        <v>40.997841679231932</v>
      </c>
      <c r="F17" s="905">
        <f t="shared" si="6"/>
        <v>2423.5925214030963</v>
      </c>
      <c r="G17" s="907">
        <f t="shared" si="7"/>
        <v>95.362271727162025</v>
      </c>
    </row>
    <row r="18" spans="1:7">
      <c r="A18" s="904">
        <v>2029</v>
      </c>
      <c r="B18" s="905">
        <f t="shared" si="3"/>
        <v>453.61468285855074</v>
      </c>
      <c r="C18" s="906">
        <f t="shared" si="8"/>
        <v>23.951161369519863</v>
      </c>
      <c r="D18" s="905">
        <f t="shared" si="4"/>
        <v>943.84535265220143</v>
      </c>
      <c r="E18" s="906">
        <f t="shared" si="5"/>
        <v>40.135818442250141</v>
      </c>
      <c r="F18" s="905">
        <f t="shared" si="6"/>
        <v>2368.1623877020693</v>
      </c>
      <c r="G18" s="907">
        <f t="shared" si="7"/>
        <v>93.181235342048041</v>
      </c>
    </row>
    <row r="19" spans="1:7" ht="17" thickBot="1">
      <c r="A19" s="908">
        <v>2030</v>
      </c>
      <c r="B19" s="909">
        <f t="shared" si="3"/>
        <v>434.99999999999983</v>
      </c>
      <c r="C19" s="910">
        <f t="shared" si="8"/>
        <v>22.968293552768401</v>
      </c>
      <c r="D19" s="909">
        <f t="shared" si="4"/>
        <v>924.00000000000011</v>
      </c>
      <c r="E19" s="910">
        <f t="shared" si="5"/>
        <v>39.29192016089187</v>
      </c>
      <c r="F19" s="909">
        <f t="shared" si="6"/>
        <v>2313.9999999999995</v>
      </c>
      <c r="G19" s="911">
        <f t="shared" si="7"/>
        <v>91.05008157431547</v>
      </c>
    </row>
  </sheetData>
  <sheetProtection algorithmName="SHA-512" hashValue="T7WujfCwoNCLDtqCuynBg1CoXgKtd9O3LvkHZik2HDhPWly83RXUmH0Mc69GwoyslZnnL957f+hZB+QVKH3Avw==" saltValue="uHuLX2qXc1FB7Ej/kJdCtg==" spinCount="100000" sheet="1" objects="1" scenarios="1"/>
  <mergeCells count="1">
    <mergeCell ref="A1:G1"/>
  </mergeCells>
  <phoneticPr fontId="11" type="noConversion"/>
  <hyperlinks>
    <hyperlink ref="M2" r:id="rId1" location="mmc1" display="Ram et al., 2" xr:uid="{0FD65EFA-CF90-884F-81BF-230ADEEACC3A}"/>
    <hyperlink ref="M3" r:id="rId2" location="mmc1" display="Ram et al., 2" xr:uid="{BEF3440B-E80D-784E-AA2A-8F94F8D7D1FE}"/>
    <hyperlink ref="M4" r:id="rId3" xr:uid="{F7779CBB-C3EB-3641-A243-FD0E209485E8}"/>
    <hyperlink ref="U2" r:id="rId4" location="mmc1" display="Ram et al., 2" xr:uid="{C1BC2138-5C97-704D-8066-AE0D0009031A}"/>
    <hyperlink ref="U3" r:id="rId5" location="mmc1" display="Ram et al., 2" xr:uid="{515AB50F-BC9D-2348-8D5F-4677FD18E1A9}"/>
    <hyperlink ref="U6" r:id="rId6" display="calc from Soares-Ramos et al., 2020" xr:uid="{044541DF-E815-004B-970B-C0979C612C7C}"/>
    <hyperlink ref="Q2" r:id="rId7" location="mmc1" display="Ram et al., 2" xr:uid="{F21F9257-7E30-1549-BD70-C6DA669A0910}"/>
    <hyperlink ref="Q3" r:id="rId8" location="mmc1" display="Ram et al., 2" xr:uid="{12CDE54D-AB5A-2741-A2FB-5AFA60BA339D}"/>
    <hyperlink ref="Q4" r:id="rId9" xr:uid="{AE5B5A1E-08B9-DD4A-8883-2011B3DB878B}"/>
    <hyperlink ref="M7" r:id="rId10" location="mmc1" display="Ram et al., 2" xr:uid="{2E93102C-CACE-5C4D-9CF2-A0C7B4A99398}"/>
    <hyperlink ref="M8" r:id="rId11" location="mmc1" display="Ram et al., 2" xr:uid="{F0304843-35F0-2D45-99D1-B5B68A37ECFB}"/>
    <hyperlink ref="M9" r:id="rId12" location="mmc1" display="Ram et al., 2" xr:uid="{F073F97B-A050-C349-8660-1D5CA0AA2BA4}"/>
    <hyperlink ref="Q7" r:id="rId13" location="mmc1" display="Ram et al., 2" xr:uid="{E66E0C3D-45FA-0544-A1BF-BEA934451C82}"/>
    <hyperlink ref="Q8" r:id="rId14" location="mmc1" display="Ram et al., 2" xr:uid="{7068740B-470A-7E42-9AA6-54F5330B775E}"/>
    <hyperlink ref="Q9" r:id="rId15" location="mmc1" display="Ram et al., 2" xr:uid="{AC4D51BE-9D7E-7B41-BB1C-2520D6DE16AF}"/>
    <hyperlink ref="U7" r:id="rId16" location="mmc1" display="Ram et al., 2" xr:uid="{CAAF1E65-5D1E-FA4B-90C0-93F776E21DD9}"/>
    <hyperlink ref="U8" r:id="rId17" location="mmc1" display="Ram et al., 2" xr:uid="{5C73078A-9CE3-0944-B8C9-662AEF4DA08F}"/>
    <hyperlink ref="U9" r:id="rId18" location="mmc1" display="Ram et al., 2" xr:uid="{465B04E3-60AC-A840-9ED6-A60826131C0C}"/>
  </hyperlinks>
  <pageMargins left="0.7" right="0.7" top="0.75" bottom="0.75" header="0.3" footer="0.3"/>
  <pageSetup paperSize="9" orientation="portrait" r:id="rId19"/>
  <legacyDrawing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9608-4A1F-ED4D-B1A3-1E06A6492117}">
  <sheetPr>
    <tabColor theme="4" tint="0.59999389629810485"/>
  </sheetPr>
  <dimension ref="A1:AQ62"/>
  <sheetViews>
    <sheetView topLeftCell="A5" zoomScale="60" zoomScaleNormal="60" zoomScaleSheetLayoutView="70" workbookViewId="0">
      <selection activeCell="D61" sqref="D61"/>
    </sheetView>
  </sheetViews>
  <sheetFormatPr baseColWidth="10" defaultColWidth="10.5" defaultRowHeight="16"/>
  <cols>
    <col min="1" max="1" width="27.33203125" style="2" bestFit="1" customWidth="1"/>
    <col min="2" max="2" width="13.5" style="2" bestFit="1" customWidth="1"/>
    <col min="3" max="3" width="12.33203125" style="2" customWidth="1"/>
    <col min="4" max="4" width="12" style="2" bestFit="1" customWidth="1"/>
    <col min="5" max="5" width="18.33203125" style="2" bestFit="1" customWidth="1"/>
    <col min="6" max="6" width="49" style="2" bestFit="1" customWidth="1"/>
    <col min="7" max="7" width="12" style="2" bestFit="1" customWidth="1"/>
    <col min="8" max="8" width="10.5" style="2"/>
    <col min="9" max="10" width="12" style="2" bestFit="1" customWidth="1"/>
    <col min="11" max="11" width="47" style="2" bestFit="1" customWidth="1"/>
    <col min="12" max="12" width="10.5" style="2" customWidth="1"/>
    <col min="13" max="16384" width="10.5" style="2"/>
  </cols>
  <sheetData>
    <row r="1" spans="1:13">
      <c r="A1" s="213" t="s">
        <v>234</v>
      </c>
    </row>
    <row r="2" spans="1:13" ht="17" thickBot="1"/>
    <row r="3" spans="1:13" customFormat="1" ht="18" customHeight="1">
      <c r="A3" s="1047" t="s">
        <v>744</v>
      </c>
      <c r="B3" s="1048"/>
      <c r="C3" s="1048"/>
      <c r="D3" s="1048"/>
      <c r="E3" s="1048"/>
      <c r="F3" s="1048"/>
      <c r="G3" s="1049"/>
      <c r="H3" s="2"/>
      <c r="I3" s="1065" t="s">
        <v>745</v>
      </c>
      <c r="J3" s="1066"/>
    </row>
    <row r="4" spans="1:13" ht="16" customHeight="1">
      <c r="A4" s="1050"/>
      <c r="B4" s="1051"/>
      <c r="C4" s="1051"/>
      <c r="D4" s="1051"/>
      <c r="E4" s="1051"/>
      <c r="F4" s="1051"/>
      <c r="G4" s="1052"/>
      <c r="I4" s="521" t="s">
        <v>244</v>
      </c>
      <c r="J4" s="279">
        <v>100000</v>
      </c>
    </row>
    <row r="5" spans="1:13" ht="19" customHeight="1">
      <c r="A5" s="1055">
        <f>D59</f>
        <v>5.0074246960674991</v>
      </c>
      <c r="B5" s="1056"/>
      <c r="C5" s="1056"/>
      <c r="D5" s="1056"/>
      <c r="E5" s="1059" t="s">
        <v>236</v>
      </c>
      <c r="F5" s="1059"/>
      <c r="G5" s="1060"/>
      <c r="I5" s="143" t="s">
        <v>746</v>
      </c>
      <c r="J5" s="66">
        <f>HOME!D12</f>
        <v>0</v>
      </c>
    </row>
    <row r="6" spans="1:13" ht="19" customHeight="1" thickBot="1">
      <c r="A6" s="1057"/>
      <c r="B6" s="1058"/>
      <c r="C6" s="1058"/>
      <c r="D6" s="1058"/>
      <c r="E6" s="1061"/>
      <c r="F6" s="1061"/>
      <c r="G6" s="1062"/>
      <c r="I6" s="523" t="s">
        <v>747</v>
      </c>
      <c r="J6" s="525">
        <f>IF(ISBLANK(HOME!D12),J4,HOME!D12)</f>
        <v>100000</v>
      </c>
    </row>
    <row r="7" spans="1:13">
      <c r="A7" s="280"/>
      <c r="B7" s="280"/>
      <c r="C7" s="280"/>
      <c r="D7" s="280"/>
      <c r="E7" s="280"/>
      <c r="F7" s="280"/>
      <c r="G7" s="280"/>
      <c r="M7" s="173"/>
    </row>
    <row r="8" spans="1:13" ht="18" customHeight="1">
      <c r="A8" s="1053" t="s">
        <v>748</v>
      </c>
      <c r="B8" s="1053"/>
      <c r="C8" s="1053"/>
      <c r="D8" s="979"/>
      <c r="E8" s="981" t="str">
        <f>HOME!H55</f>
        <v>Spain</v>
      </c>
      <c r="F8" s="981"/>
      <c r="G8" s="982"/>
      <c r="L8" s="210"/>
      <c r="M8" s="169"/>
    </row>
    <row r="9" spans="1:13">
      <c r="A9" s="1053" t="s">
        <v>237</v>
      </c>
      <c r="B9" s="1053"/>
      <c r="C9" s="1053"/>
      <c r="D9" s="979"/>
      <c r="E9" s="982">
        <f>HOME!A9</f>
        <v>2022</v>
      </c>
      <c r="F9" s="1054"/>
      <c r="G9" s="1054"/>
      <c r="L9" s="210"/>
      <c r="M9" s="169"/>
    </row>
    <row r="10" spans="1:13">
      <c r="A10" s="979" t="s">
        <v>749</v>
      </c>
      <c r="B10" s="980"/>
      <c r="C10" s="980"/>
      <c r="D10" s="980"/>
      <c r="E10" s="981" t="str">
        <f>HOME!H57</f>
        <v>Onshore wind</v>
      </c>
      <c r="F10" s="981"/>
      <c r="G10" s="982"/>
      <c r="L10" s="210"/>
      <c r="M10" s="169"/>
    </row>
    <row r="11" spans="1:13">
      <c r="A11" s="280"/>
      <c r="B11" s="280"/>
      <c r="C11" s="280"/>
      <c r="D11" s="280"/>
      <c r="E11" s="280"/>
      <c r="F11" s="280"/>
      <c r="G11" s="280"/>
      <c r="L11" s="210"/>
      <c r="M11" s="169"/>
    </row>
    <row r="12" spans="1:13">
      <c r="A12" s="280"/>
      <c r="B12" s="280"/>
      <c r="C12" s="280"/>
      <c r="D12" s="280"/>
      <c r="E12" s="280"/>
      <c r="F12" s="280"/>
      <c r="G12" s="280"/>
      <c r="M12" s="169"/>
    </row>
    <row r="13" spans="1:13">
      <c r="A13" s="1083" t="s">
        <v>750</v>
      </c>
      <c r="B13" s="1083"/>
      <c r="C13" s="1084"/>
      <c r="D13" s="1063" t="str">
        <f>HOME!D15</f>
        <v>PEM</v>
      </c>
      <c r="E13" s="1064"/>
      <c r="F13" s="1042" t="str">
        <f>IF(D13="AEL","Alkaline electrolyser",IF(D13="PEM","Proton-exchange membrane electrolyser",IF(D13="SOEC","Solid oxide electrolyser",IF(D13="AEM","Anion-exchange membrane elctrolyser - DATA NOT AVAILABLE",""))))</f>
        <v>Proton-exchange membrane electrolyser</v>
      </c>
      <c r="G13" s="1043"/>
      <c r="H13" s="213" t="str">
        <f>"-&gt; Edit"</f>
        <v>-&gt; Edit</v>
      </c>
      <c r="M13" s="169"/>
    </row>
    <row r="14" spans="1:13">
      <c r="M14" s="169"/>
    </row>
    <row r="15" spans="1:13" ht="17" thickBot="1">
      <c r="M15" s="169"/>
    </row>
    <row r="16" spans="1:13" ht="17" thickBot="1">
      <c r="A16" s="1077" t="s">
        <v>243</v>
      </c>
      <c r="B16" s="1078"/>
      <c r="C16" s="1078"/>
      <c r="D16" s="1078"/>
      <c r="E16" s="1078"/>
      <c r="F16" s="1078"/>
      <c r="G16" s="1079"/>
      <c r="L16" s="210"/>
      <c r="M16" s="169"/>
    </row>
    <row r="17" spans="1:43">
      <c r="A17" s="217"/>
      <c r="B17" s="217"/>
      <c r="C17" s="217"/>
      <c r="D17" s="217"/>
      <c r="E17" s="217"/>
      <c r="F17" s="217"/>
      <c r="G17" s="217"/>
      <c r="L17" s="210"/>
      <c r="M17" s="169"/>
    </row>
    <row r="18" spans="1:43">
      <c r="A18" s="1" t="s">
        <v>154</v>
      </c>
      <c r="B18" s="1" t="s">
        <v>244</v>
      </c>
      <c r="C18" s="1" t="s">
        <v>245</v>
      </c>
      <c r="D18" s="1" t="s">
        <v>246</v>
      </c>
      <c r="E18" s="1" t="s">
        <v>247</v>
      </c>
      <c r="F18" s="224" t="s">
        <v>248</v>
      </c>
      <c r="G18" s="225"/>
      <c r="L18" s="210"/>
      <c r="M18" s="169"/>
    </row>
    <row r="19" spans="1:43" ht="18" customHeight="1">
      <c r="L19" s="210"/>
      <c r="M19" s="169"/>
    </row>
    <row r="20" spans="1:43">
      <c r="A20" s="1" t="str">
        <f>IF(E10="Grid","Avg. electricity price","LCOE")</f>
        <v>LCOE</v>
      </c>
      <c r="B20" s="383" cm="1">
        <f t="array" ref="B20">IF(E10="Grid",AVERAGE('CFA Electrolysis'!D4:D42),IFERROR(INDEX(Tb_LCOE[],MATCH(E9,Tb_LCOE[Year],0),HLOOKUP(A20&amp;E10,LCOE!B3:G4,2,FALSE)+1),"-")/1000)</f>
        <v>4.657300035949978E-2</v>
      </c>
      <c r="C20" s="384"/>
      <c r="D20" s="385">
        <f>IF(ISBLANK(C20),B20,C20)</f>
        <v>4.657300035949978E-2</v>
      </c>
      <c r="E20" s="386" t="s">
        <v>751</v>
      </c>
      <c r="F20" s="3" t="str">
        <f>IF(E10="Grid","Average price of grid electricity","Levelized cost of electricity supplied to electrolyser")</f>
        <v>Levelized cost of electricity supplied to electrolyser</v>
      </c>
      <c r="G20" s="1082" t="s">
        <v>752</v>
      </c>
      <c r="L20" s="210"/>
      <c r="M20" s="169"/>
    </row>
    <row r="21" spans="1:43">
      <c r="A21" s="7" t="s">
        <v>753</v>
      </c>
      <c r="B21" s="387" cm="1">
        <f t="array" ref="B21">IF(E10="Grid",95%,IFERROR(INDEX(Tb_CSv[],MATCH(A21&amp;E10,Tb_CSv[Parameter],0),HLOOKUP(E8,'Prod Data'!AG2:AX3,2,FALSE)+2),"-"))</f>
        <v>0.26</v>
      </c>
      <c r="C21" s="388"/>
      <c r="D21" s="389">
        <f>IF(ISBLANK(C21),B21,C21)</f>
        <v>0.26</v>
      </c>
      <c r="E21" s="386"/>
      <c r="F21" s="39" t="s">
        <v>1304</v>
      </c>
      <c r="G21" s="1082"/>
      <c r="L21" s="210"/>
      <c r="M21" s="169"/>
    </row>
    <row r="22" spans="1:43">
      <c r="B22" s="390"/>
      <c r="C22" s="390"/>
      <c r="D22" s="391"/>
      <c r="E22" s="391"/>
      <c r="F22" s="218"/>
      <c r="L22" s="210"/>
      <c r="M22" s="169"/>
      <c r="O22" s="169"/>
      <c r="Q22" s="169"/>
      <c r="S22" s="169"/>
      <c r="U22" s="169"/>
      <c r="W22" s="169"/>
      <c r="Y22" s="169"/>
      <c r="AA22" s="169"/>
      <c r="AC22" s="169"/>
      <c r="AE22" s="169"/>
      <c r="AG22" s="169"/>
      <c r="AI22" s="169"/>
      <c r="AK22" s="169"/>
      <c r="AM22" s="169"/>
      <c r="AO22" s="169"/>
      <c r="AQ22" s="169"/>
    </row>
    <row r="23" spans="1:43" ht="18" customHeight="1">
      <c r="A23" s="1" t="s">
        <v>754</v>
      </c>
      <c r="B23" s="392" cm="1">
        <f t="array" ref="B23">IFERROR(INDEX(Tb_ELv[],MATCH(A23,Tb_ELv[Parameter],0),HLOOKUP($D$13,'Prod Data'!$I$2:$P$3,2,FALSE)+2),"-")</f>
        <v>1491.2309160305344</v>
      </c>
      <c r="C23" s="393"/>
      <c r="D23" s="394">
        <f>IF(ISBLANK(C23),B23,C23)</f>
        <v>1491.2309160305344</v>
      </c>
      <c r="E23" s="395" t="s">
        <v>755</v>
      </c>
      <c r="F23" s="3" t="s">
        <v>756</v>
      </c>
      <c r="G23" s="1044" t="s">
        <v>757</v>
      </c>
      <c r="L23" s="208"/>
      <c r="M23" s="215"/>
      <c r="N23" s="173"/>
      <c r="O23" s="173"/>
      <c r="P23" s="173"/>
      <c r="Q23" s="173"/>
      <c r="R23" s="173"/>
      <c r="S23" s="173"/>
      <c r="T23" s="173"/>
      <c r="U23" s="173"/>
      <c r="V23" s="173"/>
      <c r="W23" s="173"/>
      <c r="X23" s="173"/>
      <c r="Y23" s="173"/>
      <c r="Z23" s="173"/>
      <c r="AA23" s="173"/>
      <c r="AB23" s="173"/>
      <c r="AC23" s="173"/>
      <c r="AD23" s="173"/>
      <c r="AE23" s="173"/>
      <c r="AF23" s="173"/>
      <c r="AG23" s="173"/>
      <c r="AH23" s="173"/>
      <c r="AI23" s="173"/>
      <c r="AJ23" s="173"/>
      <c r="AK23" s="173"/>
      <c r="AL23" s="173"/>
      <c r="AM23" s="173"/>
      <c r="AN23" s="173"/>
      <c r="AO23" s="173"/>
      <c r="AP23" s="173"/>
      <c r="AQ23" s="173"/>
    </row>
    <row r="24" spans="1:43" ht="18">
      <c r="A24" s="1" t="s">
        <v>202</v>
      </c>
      <c r="B24" s="387" cm="1">
        <f t="array" ref="B24">IFERROR(INDEX(Tb_ELv[],MATCH(A24,Tb_ELv[Parameter],0),HLOOKUP($D$13,'Prod Data'!$I$2:$P$3,2,FALSE)+2),"-")</f>
        <v>1.4999999999999999E-2</v>
      </c>
      <c r="C24" s="388"/>
      <c r="D24" s="396">
        <f>IF(ISBLANK(C24),B24,C24)</f>
        <v>1.4999999999999999E-2</v>
      </c>
      <c r="E24" s="395"/>
      <c r="F24" s="3" t="s">
        <v>758</v>
      </c>
      <c r="G24" s="1045"/>
      <c r="L24" s="208"/>
      <c r="M24" s="215"/>
      <c r="N24" s="173"/>
      <c r="O24" s="173"/>
      <c r="P24" s="173"/>
      <c r="Q24" s="173"/>
      <c r="R24" s="173"/>
      <c r="S24" s="173"/>
      <c r="T24" s="173"/>
      <c r="U24" s="173"/>
      <c r="V24" s="173"/>
      <c r="W24" s="173"/>
      <c r="X24" s="173"/>
      <c r="Y24" s="173"/>
      <c r="Z24" s="173"/>
      <c r="AA24" s="173"/>
      <c r="AB24" s="173"/>
      <c r="AC24" s="173"/>
      <c r="AD24" s="173"/>
      <c r="AE24" s="173"/>
      <c r="AF24" s="173"/>
      <c r="AG24" s="173"/>
      <c r="AH24" s="173"/>
      <c r="AI24" s="173"/>
      <c r="AJ24" s="173"/>
      <c r="AK24" s="173"/>
      <c r="AL24" s="173"/>
      <c r="AM24" s="173"/>
      <c r="AN24" s="173"/>
      <c r="AO24" s="173"/>
      <c r="AP24" s="173"/>
      <c r="AQ24" s="173"/>
    </row>
    <row r="25" spans="1:43">
      <c r="A25" s="1" t="s">
        <v>211</v>
      </c>
      <c r="B25" s="387" cm="1">
        <f t="array" ref="B25">(IFERROR(INDEX(Tb_ELv[],MATCH(A25,Tb_ELv[Parameter],0),HLOOKUP($D$13,'Prod Data'!$I$2:$P$3,2,FALSE)+2),"-")+1)/(1+'General values'!R9)-1</f>
        <v>6.1086139562302133E-2</v>
      </c>
      <c r="C25" s="388"/>
      <c r="D25" s="396">
        <f>IF(ISBLANK(C25),B25,C25)</f>
        <v>6.1086139562302133E-2</v>
      </c>
      <c r="E25" s="395"/>
      <c r="F25" s="3" t="s">
        <v>284</v>
      </c>
      <c r="G25" s="1045"/>
      <c r="L25" s="208"/>
      <c r="M25" s="215"/>
      <c r="N25" s="173"/>
      <c r="O25" s="173"/>
      <c r="P25" s="173"/>
      <c r="Q25" s="173"/>
      <c r="R25" s="173"/>
      <c r="S25" s="173"/>
      <c r="T25" s="173"/>
      <c r="U25" s="173"/>
      <c r="V25" s="173"/>
      <c r="W25" s="173"/>
      <c r="X25" s="173"/>
      <c r="Y25" s="173"/>
      <c r="Z25" s="173"/>
      <c r="AA25" s="173"/>
      <c r="AB25" s="173"/>
      <c r="AC25" s="173"/>
      <c r="AD25" s="173"/>
      <c r="AE25" s="173"/>
      <c r="AF25" s="173"/>
      <c r="AG25" s="173"/>
      <c r="AH25" s="173"/>
      <c r="AI25" s="173"/>
      <c r="AJ25" s="173"/>
      <c r="AK25" s="173"/>
      <c r="AL25" s="173"/>
      <c r="AM25" s="173"/>
      <c r="AN25" s="173"/>
      <c r="AO25" s="173"/>
      <c r="AP25" s="173"/>
      <c r="AQ25" s="173"/>
    </row>
    <row r="26" spans="1:43" ht="18">
      <c r="A26" s="1" t="s">
        <v>759</v>
      </c>
      <c r="B26" s="392" cm="1">
        <f t="array" ref="B26">IFERROR(INDEX(Tb_ELv[],MATCH(A26&amp;",2020",Tb_ELv[Parameter],0),HLOOKUP($D$13,'Prod Data'!$I$2:$P$3,2,FALSE)+2),"-")*(1+D35)^(LOG(INDEX(Tb_ELv[],MATCH(A26&amp;",2030",Tb_ELv[Parameter],0),HLOOKUP($D$13,'Prod Data'!$I$2:$P$3,2,FALSE)+2)/INDEX(Tb_ELv[],MATCH(A26&amp;",2020",Tb_ELv[Parameter],0),HLOOKUP($D$13,'Prod Data'!$I$2:$P$3,2,FALSE)+2),1+D35)/(2030-2020)*(E9-2020))</f>
        <v>25.928432233416203</v>
      </c>
      <c r="C26" s="393"/>
      <c r="D26" s="397">
        <f>IF(ISBLANK(C26),B26,C26)</f>
        <v>25.928432233416203</v>
      </c>
      <c r="E26" s="386" t="s">
        <v>207</v>
      </c>
      <c r="F26" s="38" t="s">
        <v>760</v>
      </c>
      <c r="G26" s="1045"/>
      <c r="L26" s="208"/>
      <c r="M26" s="215"/>
      <c r="N26" s="173"/>
      <c r="O26" s="173"/>
      <c r="P26" s="173"/>
      <c r="Q26" s="173"/>
      <c r="R26" s="173"/>
      <c r="S26" s="173"/>
      <c r="T26" s="173"/>
      <c r="U26" s="173"/>
      <c r="V26" s="173"/>
      <c r="W26" s="173"/>
      <c r="X26" s="173"/>
      <c r="Y26" s="173"/>
      <c r="Z26" s="173"/>
      <c r="AA26" s="173"/>
      <c r="AB26" s="173"/>
      <c r="AC26" s="173"/>
      <c r="AD26" s="173"/>
      <c r="AE26" s="173"/>
      <c r="AF26" s="173"/>
      <c r="AG26" s="173"/>
      <c r="AH26" s="173"/>
      <c r="AI26" s="173"/>
      <c r="AJ26" s="173"/>
      <c r="AK26" s="173"/>
      <c r="AL26" s="173"/>
      <c r="AM26" s="173"/>
      <c r="AN26" s="173"/>
      <c r="AO26" s="173"/>
      <c r="AP26" s="173"/>
      <c r="AQ26" s="173"/>
    </row>
    <row r="27" spans="1:43" ht="18">
      <c r="A27" s="1" t="s">
        <v>761</v>
      </c>
      <c r="B27" s="398" cm="1">
        <f t="array" ref="B27">IF(E10="Grid",100%,IFERROR(INDEX(Tb_ELv[],MATCH("S"&amp;E10&amp;"/SEL",Tb_ELv[Parameter],0),HLOOKUP(D13,'Prod Data'!I2:P3,2,FALSE)+2),"-"))</f>
        <v>1.8</v>
      </c>
      <c r="C27" s="384"/>
      <c r="D27" s="399">
        <f>IF(ISBLANK(C27),B27,C27)</f>
        <v>1.8</v>
      </c>
      <c r="E27" s="395"/>
      <c r="F27" s="38" t="s">
        <v>762</v>
      </c>
      <c r="G27" s="1045"/>
      <c r="L27" s="208"/>
      <c r="M27" s="215"/>
      <c r="N27" s="173"/>
      <c r="O27" s="173"/>
      <c r="P27" s="173"/>
      <c r="Q27" s="173"/>
      <c r="R27" s="173"/>
      <c r="S27" s="173"/>
      <c r="T27" s="173"/>
      <c r="U27" s="173"/>
      <c r="V27" s="173"/>
      <c r="W27" s="173"/>
      <c r="X27" s="173"/>
      <c r="Y27" s="173"/>
      <c r="Z27" s="173"/>
      <c r="AA27" s="173"/>
      <c r="AB27" s="173"/>
      <c r="AC27" s="173"/>
      <c r="AD27" s="173"/>
      <c r="AE27" s="173"/>
      <c r="AF27" s="173"/>
      <c r="AG27" s="173"/>
      <c r="AH27" s="173"/>
      <c r="AI27" s="173"/>
      <c r="AJ27" s="173"/>
      <c r="AK27" s="173"/>
      <c r="AL27" s="173"/>
      <c r="AM27" s="173"/>
      <c r="AN27" s="173"/>
      <c r="AO27" s="173"/>
      <c r="AP27" s="173"/>
      <c r="AQ27" s="173"/>
    </row>
    <row r="28" spans="1:43" ht="18">
      <c r="A28" s="1" t="s">
        <v>763</v>
      </c>
      <c r="B28" s="387" cm="1">
        <f t="array" ref="B28">IFERROR(INDEX(Tb_ELv[],MATCH(A28&amp;",2020",Tb_ELv[Parameter],0),HLOOKUP($D$13,'Prod Data'!$I$2:$P$3,2,FALSE)+2),"-")*(1+D35)^(LOG(INDEX(Tb_ELv[],MATCH(A28&amp;",2050",Tb_ELv[Parameter],0),HLOOKUP($D$13,'Prod Data'!$I$2:$P$3,2,FALSE)+2)/INDEX(Tb_ELv[],MATCH(A28&amp;",2020",Tb_ELv[Parameter],0),HLOOKUP($D$13,'Prod Data'!$I$2:$P$3,2,FALSE)+2),1+D35)/(2050-2020)*(E9-2020))</f>
        <v>0.5141983264157407</v>
      </c>
      <c r="C28" s="388"/>
      <c r="D28" s="400">
        <f t="shared" ref="D28" si="0">IF(ISBLANK(C28),B28,C28)</f>
        <v>0.5141983264157407</v>
      </c>
      <c r="E28" s="386"/>
      <c r="F28" s="38" t="s">
        <v>764</v>
      </c>
      <c r="G28" s="1045"/>
      <c r="H28" s="210"/>
      <c r="L28" s="208"/>
      <c r="M28" s="215"/>
      <c r="N28" s="173"/>
      <c r="O28" s="173"/>
      <c r="P28" s="173"/>
      <c r="Q28" s="173"/>
      <c r="R28" s="173"/>
      <c r="S28" s="173"/>
      <c r="T28" s="173"/>
      <c r="U28" s="173"/>
      <c r="V28" s="173"/>
      <c r="W28" s="173"/>
      <c r="X28" s="173"/>
      <c r="Y28" s="173"/>
      <c r="Z28" s="173"/>
      <c r="AA28" s="173"/>
      <c r="AB28" s="173"/>
      <c r="AC28" s="173"/>
      <c r="AD28" s="173"/>
      <c r="AE28" s="173"/>
      <c r="AF28" s="173"/>
      <c r="AG28" s="173"/>
      <c r="AH28" s="173"/>
      <c r="AI28" s="173"/>
      <c r="AJ28" s="173"/>
      <c r="AK28" s="173"/>
      <c r="AL28" s="173"/>
      <c r="AM28" s="173"/>
      <c r="AN28" s="173"/>
      <c r="AO28" s="173"/>
      <c r="AP28" s="173"/>
      <c r="AQ28" s="173"/>
    </row>
    <row r="29" spans="1:43">
      <c r="A29" s="58" t="s">
        <v>765</v>
      </c>
      <c r="B29" s="387" cm="1">
        <f t="array" ref="B29">IFERROR(INDEX(Tb_ELv[],MATCH(A29,Tb_ELv[Parameter],0),HLOOKUP($D$13,'Prod Data'!$I$2:$P$3,2,FALSE)+2),"-")</f>
        <v>0.1</v>
      </c>
      <c r="C29" s="388"/>
      <c r="D29" s="400">
        <f>IF(ISBLANK(C29),B29,C29)</f>
        <v>0.1</v>
      </c>
      <c r="E29" s="386"/>
      <c r="F29" s="38" t="s">
        <v>766</v>
      </c>
      <c r="G29" s="1045"/>
      <c r="L29" s="208"/>
      <c r="M29" s="215"/>
      <c r="N29" s="173"/>
      <c r="O29" s="173"/>
      <c r="P29" s="173"/>
      <c r="Q29" s="173"/>
      <c r="R29" s="173"/>
      <c r="S29" s="173"/>
      <c r="T29" s="173"/>
      <c r="U29" s="173"/>
      <c r="V29" s="173"/>
      <c r="W29" s="173"/>
      <c r="X29" s="173"/>
      <c r="Y29" s="173"/>
      <c r="Z29" s="173"/>
      <c r="AA29" s="173"/>
      <c r="AB29" s="173"/>
      <c r="AC29" s="173"/>
      <c r="AD29" s="173"/>
      <c r="AE29" s="173"/>
      <c r="AF29" s="173"/>
      <c r="AG29" s="173"/>
      <c r="AH29" s="173"/>
      <c r="AI29" s="173"/>
      <c r="AJ29" s="173"/>
      <c r="AK29" s="173"/>
      <c r="AL29" s="173"/>
      <c r="AM29" s="173"/>
      <c r="AN29" s="173"/>
      <c r="AO29" s="173"/>
      <c r="AP29" s="173"/>
      <c r="AQ29" s="173"/>
    </row>
    <row r="30" spans="1:43" ht="18">
      <c r="A30" s="58" t="s">
        <v>61</v>
      </c>
      <c r="B30" s="401" cm="1">
        <f t="array" ref="B30">IFERROR(INDEX(Tb_ELv[],MATCH(A30,Tb_ELv[Parameter],0),HLOOKUP($D$13,'Prod Data'!$I$2:$P$3,2,FALSE)+2),"-")</f>
        <v>30</v>
      </c>
      <c r="C30" s="402"/>
      <c r="D30" s="403">
        <f>IF(ISBLANK(C30),B30,C30)</f>
        <v>30</v>
      </c>
      <c r="E30" s="386" t="s">
        <v>59</v>
      </c>
      <c r="F30" s="40" t="s">
        <v>767</v>
      </c>
      <c r="G30" s="1046"/>
      <c r="L30" s="208"/>
      <c r="M30" s="215"/>
      <c r="N30" s="173"/>
      <c r="O30" s="173"/>
      <c r="P30" s="173"/>
      <c r="Q30" s="173"/>
      <c r="R30" s="173"/>
      <c r="S30" s="173"/>
      <c r="T30" s="173"/>
      <c r="U30" s="173"/>
      <c r="V30" s="173"/>
      <c r="W30" s="173"/>
      <c r="X30" s="173"/>
      <c r="Y30" s="173"/>
      <c r="Z30" s="173"/>
      <c r="AA30" s="173"/>
      <c r="AB30" s="173"/>
      <c r="AC30" s="173"/>
      <c r="AD30" s="173"/>
      <c r="AE30" s="173"/>
      <c r="AF30" s="173"/>
      <c r="AG30" s="173"/>
      <c r="AH30" s="173"/>
      <c r="AI30" s="173"/>
      <c r="AJ30" s="173"/>
      <c r="AK30" s="173"/>
      <c r="AL30" s="173"/>
      <c r="AM30" s="173"/>
      <c r="AN30" s="173"/>
      <c r="AO30" s="173"/>
      <c r="AP30" s="173"/>
      <c r="AQ30" s="173"/>
    </row>
    <row r="31" spans="1:43">
      <c r="B31" s="391"/>
      <c r="C31" s="391"/>
      <c r="D31" s="391"/>
      <c r="E31" s="391"/>
      <c r="L31" s="208"/>
      <c r="M31" s="215"/>
      <c r="N31" s="173"/>
      <c r="O31" s="173"/>
      <c r="P31" s="173"/>
      <c r="Q31" s="173"/>
      <c r="R31" s="173"/>
      <c r="S31" s="173"/>
      <c r="T31" s="173"/>
      <c r="U31" s="173"/>
      <c r="V31" s="173"/>
      <c r="W31" s="173"/>
      <c r="X31" s="173"/>
      <c r="Y31" s="173"/>
      <c r="Z31" s="173"/>
      <c r="AA31" s="173"/>
      <c r="AB31" s="173"/>
      <c r="AC31" s="173"/>
      <c r="AD31" s="173"/>
      <c r="AE31" s="173"/>
      <c r="AF31" s="173"/>
      <c r="AG31" s="173"/>
      <c r="AH31" s="173"/>
      <c r="AI31" s="173"/>
      <c r="AJ31" s="173"/>
      <c r="AK31" s="173"/>
      <c r="AL31" s="173"/>
      <c r="AM31" s="173"/>
      <c r="AN31" s="173"/>
      <c r="AO31" s="173"/>
      <c r="AP31" s="173"/>
      <c r="AQ31" s="173"/>
    </row>
    <row r="32" spans="1:43" ht="18">
      <c r="A32" s="1" t="s">
        <v>768</v>
      </c>
      <c r="B32" s="387" cm="1">
        <f t="array" ref="B32">IFERROR(INDEX(Tb_ELv[],MATCH(A32,Tb_ELv[Parameter],0),HLOOKUP($D$13,'Prod Data'!$I$2:$P$3,2,FALSE)+2),"-")</f>
        <v>0.6</v>
      </c>
      <c r="C32" s="388"/>
      <c r="D32" s="396">
        <f t="shared" ref="D32:D36" si="1">IF(ISBLANK(C32),B32,C32)</f>
        <v>0.6</v>
      </c>
      <c r="E32" s="395"/>
      <c r="F32" s="38" t="s">
        <v>769</v>
      </c>
      <c r="G32" s="1082" t="s">
        <v>770</v>
      </c>
      <c r="L32" s="210"/>
      <c r="M32" s="176"/>
      <c r="N32" s="169"/>
      <c r="O32" s="169"/>
      <c r="P32" s="169"/>
      <c r="Q32" s="169"/>
      <c r="R32" s="169"/>
      <c r="S32" s="169"/>
      <c r="T32" s="169"/>
      <c r="U32" s="169"/>
      <c r="V32" s="169"/>
    </row>
    <row r="33" spans="1:22" ht="18" customHeight="1">
      <c r="A33" s="1" t="s">
        <v>771</v>
      </c>
      <c r="B33" s="392" cm="1">
        <f t="array" ref="B33">IFERROR(INDEX(Tb_ELv[],MATCH(A33&amp;",2020",Tb_ELv[Parameter],0),HLOOKUP($D$13,'Prod Data'!$I$2:$P$3,2,FALSE)+2),"-")*(1+D35)^(LOG(INDEX(Tb_ELv[],MATCH(A33&amp;",2030",Tb_ELv[Parameter],0),HLOOKUP($D$13,'Prod Data'!$I$2:$P$3,2,FALSE)+2)/INDEX(Tb_ELv[],MATCH(A33&amp;",2020",Tb_ELv[Parameter],0),HLOOKUP($D$13,'Prod Data'!$I$2:$P$3,2,FALSE)+2),1+D35)/(2030-2020)*(E9-2020))</f>
        <v>74783.243305275115</v>
      </c>
      <c r="C33" s="393"/>
      <c r="D33" s="397">
        <f t="shared" si="1"/>
        <v>74783.243305275115</v>
      </c>
      <c r="E33" s="386" t="s">
        <v>772</v>
      </c>
      <c r="F33" s="38" t="s">
        <v>773</v>
      </c>
      <c r="G33" s="1082"/>
      <c r="L33" s="210"/>
      <c r="M33" s="176"/>
      <c r="N33" s="169"/>
      <c r="O33" s="169"/>
      <c r="P33" s="169"/>
      <c r="Q33" s="169"/>
      <c r="R33" s="169"/>
      <c r="S33" s="169"/>
      <c r="T33" s="169"/>
      <c r="U33" s="169"/>
      <c r="V33" s="169"/>
    </row>
    <row r="34" spans="1:22">
      <c r="B34" s="391"/>
      <c r="C34" s="391"/>
      <c r="D34" s="391"/>
      <c r="E34" s="391"/>
      <c r="L34" s="210"/>
      <c r="M34" s="169"/>
    </row>
    <row r="35" spans="1:22">
      <c r="A35" s="1" t="s">
        <v>736</v>
      </c>
      <c r="B35" s="387" cm="1">
        <f t="array" ref="B35">IFERROR(INDEX(Tb_ELv[],MATCH(A35,Tb_ELv[Parameter],0),HLOOKUP($D$13,'Prod Data'!$I$2:$P$3,2,FALSE)+2),"-")</f>
        <v>0.626</v>
      </c>
      <c r="C35" s="388"/>
      <c r="D35" s="396">
        <f t="shared" si="1"/>
        <v>0.626</v>
      </c>
      <c r="E35" s="395"/>
      <c r="F35" s="38" t="s">
        <v>774</v>
      </c>
      <c r="G35" s="1082" t="s">
        <v>775</v>
      </c>
      <c r="L35" s="210"/>
      <c r="M35" s="169"/>
    </row>
    <row r="36" spans="1:22" ht="18">
      <c r="A36" s="1" t="s">
        <v>776</v>
      </c>
      <c r="B36" s="387" cm="1">
        <f t="array" ref="B36">IFERROR(INDEX(Tb_ELv[],MATCH(A36,Tb_ELv[Parameter],0),HLOOKUP($D$13,'Prod Data'!$I$2:$P$3,2,FALSE)+2),"-")</f>
        <v>0.14610000000000001</v>
      </c>
      <c r="C36" s="404"/>
      <c r="D36" s="400">
        <f t="shared" si="1"/>
        <v>0.14610000000000001</v>
      </c>
      <c r="E36" s="386"/>
      <c r="F36" s="40" t="s">
        <v>777</v>
      </c>
      <c r="G36" s="1082"/>
      <c r="L36" s="210"/>
      <c r="M36" s="169"/>
    </row>
    <row r="37" spans="1:22" ht="18">
      <c r="A37" s="1" t="s">
        <v>778</v>
      </c>
      <c r="B37" s="387" cm="1">
        <f t="array" ref="B37">IFERROR(INDEX(Tb_ELv[],MATCH(A37,Tb_ELv[Parameter],0),HLOOKUP($D$13,'Prod Data'!$I$2:$P$3,2,FALSE)+2),"-")</f>
        <v>0.1113</v>
      </c>
      <c r="C37" s="404"/>
      <c r="D37" s="400">
        <f t="shared" ref="D37" si="2">IF(ISBLANK(C37),B37,C37)</f>
        <v>0.1113</v>
      </c>
      <c r="E37" s="386"/>
      <c r="F37" s="40" t="s">
        <v>779</v>
      </c>
      <c r="G37" s="1082"/>
      <c r="L37" s="210"/>
      <c r="M37" s="169"/>
    </row>
    <row r="38" spans="1:22">
      <c r="B38" s="391"/>
      <c r="C38" s="391"/>
      <c r="D38" s="391"/>
      <c r="E38" s="391"/>
      <c r="F38" s="218"/>
      <c r="L38" s="210"/>
      <c r="M38" s="169"/>
    </row>
    <row r="39" spans="1:22" ht="18">
      <c r="A39" s="1" t="s">
        <v>780</v>
      </c>
      <c r="B39" s="387" cm="1">
        <f t="array" ref="B39">IFERROR(INDEX(Tb_ELv[],MATCH(A39,Tb_ELv[Parameter],0),HLOOKUP($D$13,'Prod Data'!$I$2:$P$3,2,FALSE)+2),"-")</f>
        <v>0.89</v>
      </c>
      <c r="C39" s="388"/>
      <c r="D39" s="396">
        <f t="shared" ref="D39:D41" si="3">IF(ISBLANK(C39),B39,C39)</f>
        <v>0.89</v>
      </c>
      <c r="E39" s="395"/>
      <c r="F39" s="38" t="s">
        <v>781</v>
      </c>
      <c r="G39" s="1082" t="s">
        <v>782</v>
      </c>
      <c r="L39" s="210"/>
      <c r="M39" s="169"/>
    </row>
    <row r="40" spans="1:22" ht="18">
      <c r="A40" s="1" t="s">
        <v>783</v>
      </c>
      <c r="B40" s="387" cm="1">
        <f t="array" ref="B40">IFERROR(INDEX(Tb_ELv[],MATCH(A40,Tb_ELv[Parameter],0),HLOOKUP($D$13,'Prod Data'!$I$2:$P$3,2,FALSE)+2),"-")</f>
        <v>0.71</v>
      </c>
      <c r="C40" s="404"/>
      <c r="D40" s="400">
        <f t="shared" si="3"/>
        <v>0.71</v>
      </c>
      <c r="E40" s="386"/>
      <c r="F40" s="40" t="s">
        <v>784</v>
      </c>
      <c r="G40" s="1082"/>
      <c r="L40" s="210"/>
      <c r="M40" s="169"/>
    </row>
    <row r="41" spans="1:22" ht="18">
      <c r="A41" s="1" t="s">
        <v>785</v>
      </c>
      <c r="B41" s="392" cm="1">
        <f t="array" ref="B41">IFERROR(INDEX(Tb_ELv[],MATCH(A41&amp;",2020",Tb_ELv[Parameter],0),HLOOKUP($D$13,'Prod Data'!$I$2:$P$3,2,FALSE)+2),"-")*(1+D35)^(LOG(INDEX(Tb_ELv[],MATCH(A41&amp;",2030",Tb_ELv[Parameter],0),HLOOKUP($D$13,'Prod Data'!$I$2:$P$3,2,FALSE)+2)/INDEX(Tb_ELv[],MATCH(A41&amp;",2020",Tb_ELv[Parameter],0),HLOOKUP($D$13,'Prod Data'!$I$2:$P$3,2,FALSE)+2),1+D35)/(2030-2020)*(E9-2020))</f>
        <v>1329.0796118979481</v>
      </c>
      <c r="C41" s="404"/>
      <c r="D41" s="403">
        <f t="shared" si="3"/>
        <v>1329.0796118979481</v>
      </c>
      <c r="E41" s="386" t="s">
        <v>786</v>
      </c>
      <c r="F41" s="40" t="s">
        <v>787</v>
      </c>
      <c r="G41" s="1082"/>
    </row>
    <row r="42" spans="1:22">
      <c r="B42" s="391"/>
      <c r="C42" s="391"/>
      <c r="D42" s="391"/>
      <c r="E42" s="391"/>
      <c r="K42" s="216"/>
    </row>
    <row r="43" spans="1:22" ht="18">
      <c r="A43" s="42" t="s">
        <v>788</v>
      </c>
      <c r="B43" s="398" cm="1">
        <f t="array" ref="B43">IFERROR(INDEX(Tb_CSv[],MATCH(A43,Tb_CSv[Parameter],0),HLOOKUP(E8,'Prod Data'!AG2:AR3,2,FALSE)+2),"-")</f>
        <v>0</v>
      </c>
      <c r="C43" s="384"/>
      <c r="D43" s="405">
        <f t="shared" ref="D43" si="4">IF(ISBLANK(C43),B43,C43)</f>
        <v>0</v>
      </c>
      <c r="E43" s="406" t="s">
        <v>789</v>
      </c>
      <c r="F43" s="38" t="s">
        <v>790</v>
      </c>
      <c r="G43" s="1082" t="s">
        <v>791</v>
      </c>
      <c r="K43" s="216"/>
    </row>
    <row r="44" spans="1:22" ht="18">
      <c r="A44" s="42" t="s">
        <v>792</v>
      </c>
      <c r="B44" s="401">
        <f>IFERROR(INDEX(Tb_GLv[],MATCH(A44,Tb_GLv[Parameter],0),3),"-")</f>
        <v>9</v>
      </c>
      <c r="C44" s="393"/>
      <c r="D44" s="397">
        <f>IF(ISBLANK(C44),B44,C44)</f>
        <v>9</v>
      </c>
      <c r="E44" s="406" t="s">
        <v>793</v>
      </c>
      <c r="F44" s="38" t="s">
        <v>794</v>
      </c>
      <c r="G44" s="1082"/>
      <c r="K44" s="216"/>
    </row>
    <row r="45" spans="1:22">
      <c r="A45" s="42" t="str">
        <f>IF(D13="SOEC","% of steam from waste stream","")</f>
        <v/>
      </c>
      <c r="B45" s="387" t="str">
        <f>IF(D13="SOEC",0%,"")</f>
        <v/>
      </c>
      <c r="C45" s="388"/>
      <c r="D45" s="400" t="str">
        <f>IF(ISBLANK(C45),B45,C45)</f>
        <v/>
      </c>
      <c r="E45" s="406"/>
      <c r="F45" s="38" t="str">
        <f>IF(D13="SOEC","Percentage of steam at 800°C from waste stream","")</f>
        <v/>
      </c>
      <c r="G45" s="1082"/>
      <c r="K45" s="216"/>
    </row>
    <row r="46" spans="1:22">
      <c r="B46" s="391"/>
      <c r="C46" s="391"/>
      <c r="D46" s="391"/>
      <c r="E46" s="391"/>
      <c r="K46" s="216"/>
    </row>
    <row r="47" spans="1:22" ht="18">
      <c r="A47" s="42" t="s">
        <v>795</v>
      </c>
      <c r="B47" s="398" cm="1">
        <f t="array" ref="B47">IFERROR(INDEX(Tb_CSv[],MATCH(A47,Tb_CSv[Parameter],0),HLOOKUP(E8,'Prod Data'!AG2:AR3,2,FALSE)+2),"-")</f>
        <v>0</v>
      </c>
      <c r="C47" s="393"/>
      <c r="D47" s="399">
        <f t="shared" ref="D47:D48" si="5">IF(ISBLANK(C47),B47,C47)</f>
        <v>0</v>
      </c>
      <c r="E47" s="406" t="s">
        <v>796</v>
      </c>
      <c r="F47" s="38" t="s">
        <v>797</v>
      </c>
      <c r="G47" s="1076" t="s">
        <v>798</v>
      </c>
      <c r="K47" s="216"/>
    </row>
    <row r="48" spans="1:22" ht="18">
      <c r="A48" s="42" t="s">
        <v>799</v>
      </c>
      <c r="B48" s="401">
        <f>'Prod Data'!C6</f>
        <v>8</v>
      </c>
      <c r="C48" s="393"/>
      <c r="D48" s="397">
        <f t="shared" si="5"/>
        <v>8</v>
      </c>
      <c r="E48" s="406" t="s">
        <v>800</v>
      </c>
      <c r="F48" s="38" t="s">
        <v>801</v>
      </c>
      <c r="G48" s="1076"/>
      <c r="K48" s="216"/>
    </row>
    <row r="49" spans="1:15">
      <c r="B49" s="391"/>
      <c r="C49" s="391"/>
      <c r="D49" s="391"/>
      <c r="E49" s="391"/>
      <c r="K49" s="216"/>
      <c r="N49" s="173"/>
      <c r="O49" s="173"/>
    </row>
    <row r="50" spans="1:15" ht="18">
      <c r="A50" s="1" t="s">
        <v>802</v>
      </c>
      <c r="B50" s="407">
        <f>D21*D27</f>
        <v>0.46800000000000003</v>
      </c>
      <c r="C50" s="388"/>
      <c r="D50" s="408">
        <f>IF(ISBLANK(C50),B50,C50)</f>
        <v>0.46800000000000003</v>
      </c>
      <c r="E50" s="409"/>
      <c r="F50" s="38" t="s">
        <v>803</v>
      </c>
      <c r="G50" s="1082" t="s">
        <v>804</v>
      </c>
      <c r="K50" s="216"/>
    </row>
    <row r="51" spans="1:15" ht="18">
      <c r="A51" s="1" t="s">
        <v>805</v>
      </c>
      <c r="B51" s="410">
        <f>D23*D32*(1+D35)^((E9-2021)*LOG(1-D36,2))*(J6/1000)^((D39-1)*EXP(-J6/D41))</f>
        <v>800.92162193024831</v>
      </c>
      <c r="C51" s="393"/>
      <c r="D51" s="411">
        <f>IF(ISBLANK(C51),B51,C51)</f>
        <v>800.92162193024831</v>
      </c>
      <c r="E51" s="409" t="s">
        <v>755</v>
      </c>
      <c r="F51" s="3" t="str">
        <f>"CAPEX of considered electrolyser stack ("&amp;J6/1000&amp;" MW in "&amp;E9&amp;")"</f>
        <v>CAPEX of considered electrolyser stack (100 MW in 2022)</v>
      </c>
      <c r="G51" s="1082"/>
      <c r="K51" s="216"/>
    </row>
    <row r="52" spans="1:15" ht="18">
      <c r="A52" s="1" t="s">
        <v>806</v>
      </c>
      <c r="B52" s="410">
        <f>D51+D23*(1-D32)*(1+D35)^((E9-2021)*LOG(1-D37,2))*(J6/1000)^(D40-1)</f>
        <v>945.354312377631</v>
      </c>
      <c r="C52" s="393"/>
      <c r="D52" s="412">
        <f>IF(ISBLANK(C52),B52,C52)</f>
        <v>945.354312377631</v>
      </c>
      <c r="E52" s="413" t="s">
        <v>755</v>
      </c>
      <c r="F52" s="3" t="str">
        <f>"CAPEX of considered electrolyser system ("&amp;J6/1000&amp;" MW in "&amp;E9&amp;")"</f>
        <v>CAPEX of considered electrolyser system (100 MW in 2022)</v>
      </c>
      <c r="G52" s="1082"/>
      <c r="K52" s="216"/>
    </row>
    <row r="53" spans="1:15">
      <c r="K53" s="216"/>
    </row>
    <row r="54" spans="1:15" ht="17" thickBot="1">
      <c r="K54" s="216"/>
    </row>
    <row r="55" spans="1:15">
      <c r="A55" s="1077" t="s">
        <v>297</v>
      </c>
      <c r="B55" s="1078"/>
      <c r="C55" s="1078"/>
      <c r="D55" s="1078"/>
      <c r="E55" s="1078"/>
      <c r="F55" s="1078"/>
      <c r="G55" s="1079"/>
    </row>
    <row r="56" spans="1:15">
      <c r="K56" s="216"/>
    </row>
    <row r="57" spans="1:15" ht="18">
      <c r="A57" s="1080" t="s">
        <v>520</v>
      </c>
      <c r="B57" s="1081"/>
      <c r="C57" s="1081"/>
      <c r="D57" s="414">
        <f>8760*D50</f>
        <v>4099.68</v>
      </c>
      <c r="E57" s="415" t="s">
        <v>807</v>
      </c>
      <c r="K57" s="216"/>
    </row>
    <row r="58" spans="1:15">
      <c r="A58" s="416"/>
      <c r="B58" s="416"/>
      <c r="C58" s="416"/>
      <c r="D58" s="417"/>
      <c r="E58" s="416"/>
      <c r="K58" s="216"/>
    </row>
    <row r="59" spans="1:15" ht="18">
      <c r="A59" s="1074" t="s">
        <v>808</v>
      </c>
      <c r="B59" s="1075"/>
      <c r="C59" s="1075"/>
      <c r="D59" s="418">
        <f>IF(E10="Grid",SUM('CFA Electrolysis'!N4:N42)/SUM('CFA Electrolysis'!P4:P42),SUM('CFA Electrolysis'!N4:N42)/SUM('CFA Electrolysis'!P4:P42)+IF(D13="SOEC",D20*('General values'!$C$3/(D28-D29/2)+'Prod Data'!$C$9/'Prod Data'!$C$10*(1-D45)),D20*'General values'!C3/(D28-D29/2)))</f>
        <v>5.0074246960674991</v>
      </c>
      <c r="E59" s="419" t="s">
        <v>75</v>
      </c>
      <c r="G59" s="220"/>
      <c r="K59" s="216"/>
    </row>
    <row r="60" spans="1:15">
      <c r="A60" s="1071" t="s">
        <v>321</v>
      </c>
      <c r="B60" s="1072"/>
      <c r="C60" s="1072"/>
      <c r="D60" s="1072"/>
      <c r="E60" s="1073"/>
      <c r="G60" s="173"/>
    </row>
    <row r="61" spans="1:15" ht="18">
      <c r="A61" s="1067" t="s">
        <v>526</v>
      </c>
      <c r="B61" s="1068"/>
      <c r="C61" s="1068"/>
      <c r="D61" s="420">
        <f>IF(E10="Grid",SUM('CFA Electrolysis'!M4:M42)/SUM('CFA Electrolysis'!P4:P42),IF(D13="SOEC",D20*('General values'!$C$3/(D28-D29/2)+'Prod Data'!$C$9/'Prod Data'!$C$10*(1-D45)),D20*'General values'!C3/(D28-D29/2)))</f>
        <v>3.3439976269795761</v>
      </c>
      <c r="E61" s="421" t="s">
        <v>75</v>
      </c>
    </row>
    <row r="62" spans="1:15" ht="18">
      <c r="A62" s="1069" t="s">
        <v>809</v>
      </c>
      <c r="B62" s="1070"/>
      <c r="C62" s="1070"/>
      <c r="D62" s="422">
        <f>D59-D61</f>
        <v>1.6634270690879229</v>
      </c>
      <c r="E62" s="423" t="s">
        <v>75</v>
      </c>
    </row>
  </sheetData>
  <sheetProtection algorithmName="SHA-512" hashValue="MU3NUl/WW7gdMKVmrBglChpZEAdawxbFSSAVkbkkaY+i3hJ43Z23+87xyQwD9BeAnnq63jLCccL1QjifWI/DUg==" saltValue="ihDsnk4nbe0VKndFaHVUrQ==" spinCount="100000" sheet="1" objects="1" scenarios="1"/>
  <mergeCells count="28">
    <mergeCell ref="I3:J3"/>
    <mergeCell ref="A61:C61"/>
    <mergeCell ref="A62:C62"/>
    <mergeCell ref="A60:E60"/>
    <mergeCell ref="A59:C59"/>
    <mergeCell ref="G47:G48"/>
    <mergeCell ref="A55:G55"/>
    <mergeCell ref="A57:C57"/>
    <mergeCell ref="G50:G52"/>
    <mergeCell ref="G39:G41"/>
    <mergeCell ref="G43:G45"/>
    <mergeCell ref="G32:G33"/>
    <mergeCell ref="G20:G21"/>
    <mergeCell ref="G35:G37"/>
    <mergeCell ref="A16:G16"/>
    <mergeCell ref="A13:C13"/>
    <mergeCell ref="F13:G13"/>
    <mergeCell ref="G23:G30"/>
    <mergeCell ref="A3:G4"/>
    <mergeCell ref="A8:D8"/>
    <mergeCell ref="A9:D9"/>
    <mergeCell ref="E8:G8"/>
    <mergeCell ref="E9:G9"/>
    <mergeCell ref="A5:D6"/>
    <mergeCell ref="E5:G6"/>
    <mergeCell ref="A10:D10"/>
    <mergeCell ref="E10:G10"/>
    <mergeCell ref="D13:E13"/>
  </mergeCells>
  <hyperlinks>
    <hyperlink ref="A1" location="HOME!A1" display="HOME" xr:uid="{AFBE89A9-A84A-3E4E-AC99-89ED23B43E63}"/>
    <hyperlink ref="H13" location="HOME!D20" display="HOME!D20" xr:uid="{7670B848-4389-457D-AEB5-0BD899BFBCEF}"/>
    <hyperlink ref="I5" location="HOME!D17" display="Overwritten" xr:uid="{374A3E6E-6D4F-9B42-B889-4F6FE32D1179}"/>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6E508-60DB-1942-8A1F-4741977A7CEE}">
  <sheetPr>
    <tabColor theme="4" tint="0.79998168889431442"/>
  </sheetPr>
  <dimension ref="A1:T50"/>
  <sheetViews>
    <sheetView zoomScale="60" zoomScaleNormal="60" workbookViewId="0">
      <selection activeCell="I3" sqref="I3"/>
    </sheetView>
  </sheetViews>
  <sheetFormatPr baseColWidth="10" defaultColWidth="10.83203125" defaultRowHeight="16"/>
  <cols>
    <col min="1" max="14" width="10.83203125" style="31"/>
    <col min="15" max="15" width="12.33203125" style="31" bestFit="1" customWidth="1"/>
    <col min="16" max="16" width="12.83203125" style="31" customWidth="1"/>
    <col min="17" max="16384" width="10.83203125" style="31"/>
  </cols>
  <sheetData>
    <row r="1" spans="1:20" s="30" customFormat="1" ht="17" thickBot="1">
      <c r="A1" s="32" t="s">
        <v>234</v>
      </c>
    </row>
    <row r="2" spans="1:20" ht="18">
      <c r="B2" s="18"/>
      <c r="C2" s="19"/>
      <c r="D2" s="54" t="s">
        <v>810</v>
      </c>
      <c r="E2" s="20" t="s">
        <v>772</v>
      </c>
      <c r="F2" s="21" t="s">
        <v>811</v>
      </c>
      <c r="G2" s="22" t="s">
        <v>811</v>
      </c>
      <c r="H2" s="23" t="s">
        <v>811</v>
      </c>
      <c r="I2" s="22" t="s">
        <v>811</v>
      </c>
      <c r="J2" s="21" t="s">
        <v>811</v>
      </c>
      <c r="K2" s="22" t="s">
        <v>811</v>
      </c>
      <c r="L2" s="24" t="s">
        <v>811</v>
      </c>
      <c r="M2" s="25" t="s">
        <v>811</v>
      </c>
      <c r="N2" s="25" t="s">
        <v>811</v>
      </c>
      <c r="O2" s="26" t="s">
        <v>812</v>
      </c>
      <c r="P2" s="27" t="s">
        <v>812</v>
      </c>
      <c r="R2" s="1085" t="s">
        <v>813</v>
      </c>
      <c r="S2" s="1086"/>
      <c r="T2" s="1087"/>
    </row>
    <row r="3" spans="1:20" ht="34">
      <c r="B3" s="28" t="s">
        <v>530</v>
      </c>
      <c r="C3" s="10" t="s">
        <v>531</v>
      </c>
      <c r="D3" s="55" t="s">
        <v>814</v>
      </c>
      <c r="E3" s="11" t="s">
        <v>815</v>
      </c>
      <c r="F3" s="12" t="s">
        <v>816</v>
      </c>
      <c r="G3" s="13" t="s">
        <v>817</v>
      </c>
      <c r="H3" s="14" t="s">
        <v>805</v>
      </c>
      <c r="I3" s="13" t="s">
        <v>818</v>
      </c>
      <c r="J3" s="12" t="s">
        <v>819</v>
      </c>
      <c r="K3" s="13" t="s">
        <v>820</v>
      </c>
      <c r="L3" s="15" t="s">
        <v>536</v>
      </c>
      <c r="M3" s="71" t="s">
        <v>537</v>
      </c>
      <c r="N3" s="16" t="s">
        <v>538</v>
      </c>
      <c r="O3" s="17" t="s">
        <v>821</v>
      </c>
      <c r="P3" s="29" t="s">
        <v>822</v>
      </c>
      <c r="R3" s="1088"/>
      <c r="S3" s="1089"/>
      <c r="T3" s="1090"/>
    </row>
    <row r="4" spans="1:20" ht="17" thickBot="1">
      <c r="B4" s="424">
        <v>2022</v>
      </c>
      <c r="C4" s="425">
        <f>IF(B4=Electrolysis!$E$9,B4-HOME!$A$9,IF(B4&lt;Electrolysis!$E$9,"",IF(B4&gt;Electrolysis!$D$26+Electrolysis!$E$9,"",B4-HOME!$A$9)))</f>
        <v>0</v>
      </c>
      <c r="D4" s="426" t="str" cm="1">
        <f t="array" ref="D4">IFERROR(IF(B4=Electrolysis!$E$9,"",IF(B4&lt;Electrolysis!$E$9,"",IF(B4&gt;Electrolysis!$D$26+Electrolysis!$E$9,"",IF(INDEX(Tb_Fuel[],MATCH(B4,Tb_Fuel[Year],0),HLOOKUP(Electrolysis!$E$8&amp;" - Grid",'Fuel Data'!$BB$2:$BX$3,2,FALSE)+2)=0,INDEX(Tb_Fuel[],MATCH(B4,Tb_Fuel[Year],0),HLOOKUP(Electrolysis!$E$8&amp;" - Grid",'Fuel Data'!$BB$2:$BX$3,2,FALSE)+1),INDEX(Tb_Fuel[],MATCH(B4,Tb_Fuel[Year],0),HLOOKUP(Electrolysis!$E$8&amp;" - Grid",'Fuel Data'!$BB$2:$BX$3,2,FALSE)+1))))),"")</f>
        <v/>
      </c>
      <c r="E4" s="427"/>
      <c r="F4" s="426">
        <f>IF(B4=Electrolysis!$E$9,Electrolysis!$D$52,IF(B4&lt;Electrolysis!$E$9,"",IF(B4&gt;Electrolysis!$D$26+Electrolysis!$E$9,"",0)))</f>
        <v>945.354312377631</v>
      </c>
      <c r="G4" s="426">
        <f>IF(B4=Electrolysis!$E$9,0,IF(B4&lt;Electrolysis!$E$9,"",IF(B4&gt;Electrolysis!$D$26+Electrolysis!$E$9,"",Electrolysis!$D$52*Electrolysis!$D$24)))</f>
        <v>0</v>
      </c>
      <c r="H4" s="428">
        <f>IF(B4=Electrolysis!$E$9,0,IF(B4&lt;Electrolysis!$E$9,"",IF(B4&gt;Electrolysis!$D$26+Electrolysis!$E$9,"",IF(E4&lt;E3,Electrolysis!$D$23*Electrolysis!$D$32*(1+Electrolysis!$D$35)^((MIN(B4,2030)-2021)*LOG(1-Electrolysis!$D$36,2))*(Electrolysis!$J$4/1000)^((Electrolysis!$D$39-1)*EXP(-Electrolysis!$J$4/Electrolysis!$D$41)),0))))</f>
        <v>0</v>
      </c>
      <c r="I4" s="426">
        <f>IFERROR(IF(B4=Electrolysis!$E$9,0,IF(B4&lt;Electrolysis!$E$9,"",IF(B4&gt;Electrolysis!$D$26+Electrolysis!$E$9,"",IF(Electrolysis!$E$10="Grid",IF(ISBLANK(Electrolysis!$C$20),D4*Electrolysis!$D$50*8760,Electrolysis!$D$20*Electrolysis!$D$50*8760),0)))),"-")</f>
        <v>0</v>
      </c>
      <c r="J4" s="426">
        <f>IFERROR(IF(B4=Electrolysis!$E$9,0,IF(B4&lt;Electrolysis!$E$9,"",IF(B4&gt;Electrolysis!$D$26+Electrolysis!$E$9,"",Electrolysis!$D$43*Electrolysis!$D$44*O4))),"-")</f>
        <v>0</v>
      </c>
      <c r="K4" s="426">
        <f>IFERROR(IF(B4=Electrolysis!$E$9,0,IF(B4&lt;Electrolysis!$E$9,"",IF(B4&gt;Electrolysis!$D$26+Electrolysis!$E$9,"",-Electrolysis!$D$47*Electrolysis!$D$48*O4))),"-")</f>
        <v>0</v>
      </c>
      <c r="L4" s="426">
        <f>IF(B4=Electrolysis!$E$9,SUM(F4:K4),IF(B4&lt;Electrolysis!$E$9,"",IF(B4&gt;Electrolysis!$D$26+Electrolysis!$E$9,"",SUM(F4:K4))))</f>
        <v>945.354312377631</v>
      </c>
      <c r="M4" s="426">
        <f>IF(B4=Electrolysis!$E$9,I4/(1+Electrolysis!$D$25)^C4,IF(B4&lt;Electrolysis!$E$9,"",IF(B4&gt;Electrolysis!$D$26+Electrolysis!$E$9,"",I4/(1+Electrolysis!$D$25)^C4)))</f>
        <v>0</v>
      </c>
      <c r="N4" s="426">
        <f>IF(B4=Electrolysis!$E$9,L4/(1+Electrolysis!$D$25)^C4,IF(B4&lt;Electrolysis!$E$9,"",IF(B4&gt;Electrolysis!$D$26+Electrolysis!$E$9,"",L4/(1+Electrolysis!$D$25)^C4)))</f>
        <v>945.354312377631</v>
      </c>
      <c r="O4" s="429">
        <f>IF(B4=Electrolysis!$E$9,0,IF(B4&lt;Electrolysis!$E$9,"",IF(B4&gt;Electrolysis!$D$26+Electrolysis!$E$9,"",IF(Electrolysis!$D$13="SOEC",'General values'!$C$3/('General values'!$C$3/(Electrolysis!$D$28-Electrolysis!$D$29*(E4+E3)/2/Electrolysis!$D$33)+'Prod Data'!$C$9/'Prod Data'!$C$10*(1-Electrolysis!$D$45))*Electrolysis!$D$50*8760/'General values'!$C$3,(Electrolysis!$D$28-Electrolysis!$D$29*(E4+E3)/2/Electrolysis!$D$33)*Electrolysis!$D$50*8760/'General values'!$C$3))))</f>
        <v>0</v>
      </c>
      <c r="P4" s="430">
        <f>IF(B4=Electrolysis!$E$9,O4/(1+Electrolysis!$D$25)^C4,IF(B4&lt;Electrolysis!$E$9,"",IF(B4&gt;Electrolysis!$D$26+Electrolysis!$E$9,"",O4/(1+Electrolysis!$D$25)^C4)))</f>
        <v>0</v>
      </c>
      <c r="R4" s="1091"/>
      <c r="S4" s="1092"/>
      <c r="T4" s="1093"/>
    </row>
    <row r="5" spans="1:20">
      <c r="B5" s="424">
        <v>2023</v>
      </c>
      <c r="C5" s="431">
        <f>IF(B5=Electrolysis!$E$9,B5-HOME!$A$9,IF(B5&lt;Electrolysis!$E$9,"",IF(B5&gt;Electrolysis!$D$26+Electrolysis!$E$9,"",B5-HOME!$A$9)))</f>
        <v>1</v>
      </c>
      <c r="D5" s="426" cm="1">
        <f t="array" ref="D5">IFERROR(IF(B5=Electrolysis!$E$9,"",IF(B5&lt;Electrolysis!$E$9,"",IF(B5&gt;Electrolysis!$D$26+Electrolysis!$E$9,"",IF(INDEX(Tb_Fuel[],MATCH(B5,Tb_Fuel[Year],0),HLOOKUP(Electrolysis!$E$8&amp;" - Grid",'Fuel Data'!$BB$2:$BX$3,2,FALSE)+2)=0,INDEX(Tb_Fuel[],MATCH(B5,Tb_Fuel[Year],0),HLOOKUP(Electrolysis!$E$8&amp;" - Grid",'Fuel Data'!$BB$2:$BX$3,2,FALSE)+1),INDEX(Tb_Fuel[],MATCH(B5,Tb_Fuel[Year],0),HLOOKUP(Electrolysis!$E$8&amp;" - Grid",'Fuel Data'!$BB$2:$BX$3,2,FALSE)+1))))),"")</f>
        <v>0.11</v>
      </c>
      <c r="E5" s="427">
        <f>IF(B5=Electrolysis!$E$9,0,IF(B5&lt;Electrolysis!$E$9,"",IF(B5&gt;Electrolysis!$D$26+Electrolysis!$E$9,"",IF(E4+Electrolysis!$D$50*8760&lt;Electrolysis!$D$33,E4+Electrolysis!$D$50*8760,E4+Electrolysis!$D$50*8760-Electrolysis!$D$33))))</f>
        <v>4099.68</v>
      </c>
      <c r="F5" s="426">
        <f>IF(B5=Electrolysis!$E$9,Electrolysis!$D$52,IF(B5&lt;Electrolysis!$E$9,"",IF(B5&gt;Electrolysis!$D$26+Electrolysis!$E$9,"",0)))</f>
        <v>0</v>
      </c>
      <c r="G5" s="426">
        <f>IF(B5=Electrolysis!$E$9,0,IF(B5&lt;Electrolysis!$E$9,"",IF(B5&gt;Electrolysis!$D$26+Electrolysis!$E$9,"",Electrolysis!$D$52*Electrolysis!$D$24)))</f>
        <v>14.180314685664465</v>
      </c>
      <c r="H5" s="428">
        <f>IF(B5=Electrolysis!$E$9,0,IF(B5&lt;Electrolysis!$E$9,"",IF(B5&gt;Electrolysis!$D$26+Electrolysis!$E$9,"",IF(E5&lt;E4,Electrolysis!$D$23*Electrolysis!$D$32*(1+Electrolysis!$D$35)^((MIN(B5,2030)-2021)*LOG(1-Electrolysis!$D$36,2))*(Electrolysis!$J$4/1000)^((Electrolysis!$D$39-1)*EXP(-Electrolysis!$J$4/Electrolysis!$D$41)),0))))</f>
        <v>0</v>
      </c>
      <c r="I5" s="426">
        <f>IFERROR(IF(B5=Electrolysis!$E$9,0,IF(B5&lt;Electrolysis!$E$9,"",IF(B5&gt;Electrolysis!$D$26+Electrolysis!$E$9,"",IF(Electrolysis!$E$10="Grid",IF(ISBLANK(Electrolysis!$C$20),D5*Electrolysis!$D$50*8760,Electrolysis!$D$20*Electrolysis!$D$50*8760),0)))),"-")</f>
        <v>0</v>
      </c>
      <c r="J5" s="426">
        <f>IFERROR(IF(B5=Electrolysis!$E$9,0,IF(B5&lt;Electrolysis!$E$9,"",IF(B5&gt;Electrolysis!$D$26+Electrolysis!$E$9,"",Electrolysis!$D$43*Electrolysis!$D$44*O5))),"-")</f>
        <v>0</v>
      </c>
      <c r="K5" s="426">
        <f>IFERROR(IF(B5=Electrolysis!$E$9,0,IF(B5&lt;Electrolysis!$E$9,"",IF(B5&gt;Electrolysis!$D$26+Electrolysis!$E$9,"",-Electrolysis!$D$47*Electrolysis!$D$48*O5))),"-")</f>
        <v>0</v>
      </c>
      <c r="L5" s="426">
        <f>IF(B5=Electrolysis!$E$9,SUM(F5:K5),IF(B5&lt;Electrolysis!$E$9,"",IF(B5&gt;Electrolysis!$D$26+Electrolysis!$E$9,"",SUM(F5:K5))))</f>
        <v>14.180314685664465</v>
      </c>
      <c r="M5" s="426">
        <f>IF(B5=Electrolysis!$E$9,I5/(1+Electrolysis!$D$25)^C5,IF(B5&lt;Electrolysis!$E$9,"",IF(B5&gt;Electrolysis!$D$26+Electrolysis!$E$9,"",I5/(1+Electrolysis!$D$25)^C5)))</f>
        <v>0</v>
      </c>
      <c r="N5" s="426">
        <f>IF(B5=Electrolysis!$E$9,L5/(1+Electrolysis!$D$25)^C5,IF(B5&lt;Electrolysis!$E$9,"",IF(B5&gt;Electrolysis!$D$26+Electrolysis!$E$9,"",L5/(1+Electrolysis!$D$25)^C5)))</f>
        <v>13.363961847163363</v>
      </c>
      <c r="O5" s="429">
        <f>IF(B5=Electrolysis!$E$9,0,IF(B5&lt;Electrolysis!$E$9,"",IF(B5&gt;Electrolysis!$D$26+Electrolysis!$E$9,"",IF(Electrolysis!$D$13="SOEC",'General values'!$C$3/('General values'!$C$3/(Electrolysis!$D$28-Electrolysis!$D$29*(E5+E4)/2/Electrolysis!$D$33)+'Prod Data'!$C$9/'Prod Data'!$C$10*(1-Electrolysis!$D$45))*Electrolysis!$D$50*8760/'General values'!$C$3,(Electrolysis!$D$28-Electrolysis!$D$29*(E5+E4)/2/Electrolysis!$D$33)*Electrolysis!$D$50*8760/'General values'!$C$3))))</f>
        <v>62.910627073668429</v>
      </c>
      <c r="P5" s="430">
        <f>IF(B5=Electrolysis!$E$9,O5/(1+Electrolysis!$D$25)^C5,IF(B5&lt;Electrolysis!$E$9,"",IF(B5&gt;Electrolysis!$D$26+Electrolysis!$E$9,"",O5/(1+Electrolysis!$D$25)^C5)))</f>
        <v>59.288897223385703</v>
      </c>
    </row>
    <row r="6" spans="1:20">
      <c r="B6" s="424">
        <v>2024</v>
      </c>
      <c r="C6" s="431">
        <f>IF(B6=Electrolysis!$E$9,B6-HOME!$A$9,IF(B6&lt;Electrolysis!$E$9,"",IF(B6&gt;Electrolysis!$D$26+Electrolysis!$E$9,"",B6-HOME!$A$9)))</f>
        <v>2</v>
      </c>
      <c r="D6" s="426" cm="1">
        <f t="array" ref="D6">IFERROR(IF(B6=Electrolysis!$E$9,"",IF(B6&lt;Electrolysis!$E$9,"",IF(B6&gt;Electrolysis!$D$26+Electrolysis!$E$9,"",IF(INDEX(Tb_Fuel[],MATCH(B6,Tb_Fuel[Year],0),HLOOKUP(Electrolysis!$E$8&amp;" - Grid",'Fuel Data'!$BB$2:$BX$3,2,FALSE)+2)=0,INDEX(Tb_Fuel[],MATCH(B6,Tb_Fuel[Year],0),HLOOKUP(Electrolysis!$E$8&amp;" - Grid",'Fuel Data'!$BB$2:$BX$3,2,FALSE)+1),INDEX(Tb_Fuel[],MATCH(B6,Tb_Fuel[Year],0),HLOOKUP(Electrolysis!$E$8&amp;" - Grid",'Fuel Data'!$BB$2:$BX$3,2,FALSE)+1))))),"")</f>
        <v>0.11</v>
      </c>
      <c r="E6" s="427">
        <f>IF(B6=Electrolysis!$E$9,0,IF(B6&lt;Electrolysis!$E$9,"",IF(B6&gt;Electrolysis!$D$26+Electrolysis!$E$9,"",IF(E5+Electrolysis!$D$50*8760&lt;Electrolysis!$D$33,E5+Electrolysis!$D$50*8760,E5+Electrolysis!$D$50*8760-Electrolysis!$D$33))))</f>
        <v>8199.36</v>
      </c>
      <c r="F6" s="426">
        <f>IF(B6=Electrolysis!$E$9,Electrolysis!$D$52,IF(B6&lt;Electrolysis!$E$9,"",IF(B6&gt;Electrolysis!$D$26+Electrolysis!$E$9,"",0)))</f>
        <v>0</v>
      </c>
      <c r="G6" s="426">
        <f>IF(B6=Electrolysis!$E$9,0,IF(B6&lt;Electrolysis!$E$9,"",IF(B6&gt;Electrolysis!$D$26+Electrolysis!$E$9,"",Electrolysis!$D$52*Electrolysis!$D$24)))</f>
        <v>14.180314685664465</v>
      </c>
      <c r="H6" s="428">
        <f>IF(B6=Electrolysis!$E$9,0,IF(B6&lt;Electrolysis!$E$9,"",IF(B6&gt;Electrolysis!$D$26+Electrolysis!$E$9,"",IF(E6&lt;E5,Electrolysis!$D$23*Electrolysis!$D$32*(1+Electrolysis!$D$35)^((MIN(B6,2030)-2021)*LOG(1-Electrolysis!$D$36,2))*(Electrolysis!$J$4/1000)^((Electrolysis!$D$39-1)*EXP(-Electrolysis!$J$4/Electrolysis!$D$41)),0))))</f>
        <v>0</v>
      </c>
      <c r="I6" s="426">
        <f>IFERROR(IF(B6=Electrolysis!$E$9,0,IF(B6&lt;Electrolysis!$E$9,"",IF(B6&gt;Electrolysis!$D$26+Electrolysis!$E$9,"",IF(Electrolysis!$E$10="Grid",IF(ISBLANK(Electrolysis!$C$20),D6*Electrolysis!$D$50*8760,Electrolysis!$D$20*Electrolysis!$D$50*8760),0)))),"-")</f>
        <v>0</v>
      </c>
      <c r="J6" s="426">
        <f>IFERROR(IF(B6=Electrolysis!$E$9,0,IF(B6&lt;Electrolysis!$E$9,"",IF(B6&gt;Electrolysis!$D$26+Electrolysis!$E$9,"",Electrolysis!$D$43*Electrolysis!$D$44*O6))),"-")</f>
        <v>0</v>
      </c>
      <c r="K6" s="426">
        <f>IFERROR(IF(B6=Electrolysis!$E$9,0,IF(B6&lt;Electrolysis!$E$9,"",IF(B6&gt;Electrolysis!$D$26+Electrolysis!$E$9,"",-Electrolysis!$D$47*Electrolysis!$D$48*O6))),"-")</f>
        <v>0</v>
      </c>
      <c r="L6" s="426">
        <f>IF(B6=Electrolysis!$E$9,SUM(F6:K6),IF(B6&lt;Electrolysis!$E$9,"",IF(B6&gt;Electrolysis!$D$26+Electrolysis!$E$9,"",SUM(F6:K6))))</f>
        <v>14.180314685664465</v>
      </c>
      <c r="M6" s="426">
        <f>IF(B6=Electrolysis!$E$9,I6/(1+Electrolysis!$D$25)^C6,IF(B6&lt;Electrolysis!$E$9,"",IF(B6&gt;Electrolysis!$D$26+Electrolysis!$E$9,"",I6/(1+Electrolysis!$D$25)^C6)))</f>
        <v>0</v>
      </c>
      <c r="N6" s="426">
        <f>IF(B6=Electrolysis!$E$9,L6/(1+Electrolysis!$D$25)^C6,IF(B6&lt;Electrolysis!$E$9,"",IF(B6&gt;Electrolysis!$D$26+Electrolysis!$E$9,"",L6/(1+Electrolysis!$D$25)^C6)))</f>
        <v>12.594605988045416</v>
      </c>
      <c r="O6" s="429">
        <f>IF(B6=Electrolysis!$E$9,0,IF(B6&lt;Electrolysis!$E$9,"",IF(B6&gt;Electrolysis!$D$26+Electrolysis!$E$9,"",IF(Electrolysis!$D$13="SOEC",'General values'!$C$3/('General values'!$C$3/(Electrolysis!$D$28-Electrolysis!$D$29*(E6+E5)/2/Electrolysis!$D$33)+'Prod Data'!$C$9/'Prod Data'!$C$10*(1-Electrolysis!$D$45))*Electrolysis!$D$50*8760/'General values'!$C$3,(Electrolysis!$D$28-Electrolysis!$D$29*(E6+E5)/2/Electrolysis!$D$33)*Electrolysis!$D$50*8760/'General values'!$C$3))))</f>
        <v>62.236315974075538</v>
      </c>
      <c r="P6" s="430">
        <f>IF(B6=Electrolysis!$E$9,O6/(1+Electrolysis!$D$25)^C6,IF(B6&lt;Electrolysis!$E$9,"",IF(B6&gt;Electrolysis!$D$26+Electrolysis!$E$9,"",O6/(1+Electrolysis!$D$25)^C6)))</f>
        <v>55.27676185024302</v>
      </c>
    </row>
    <row r="7" spans="1:20">
      <c r="B7" s="424">
        <v>2025</v>
      </c>
      <c r="C7" s="431">
        <f>IF(B7=Electrolysis!$E$9,B7-HOME!$A$9,IF(B7&lt;Electrolysis!$E$9,"",IF(B7&gt;Electrolysis!$D$26+Electrolysis!$E$9,"",B7-HOME!$A$9)))</f>
        <v>3</v>
      </c>
      <c r="D7" s="426" cm="1">
        <f t="array" ref="D7">IFERROR(IF(B7=Electrolysis!$E$9,"",IF(B7&lt;Electrolysis!$E$9,"",IF(B7&gt;Electrolysis!$D$26+Electrolysis!$E$9,"",IF(INDEX(Tb_Fuel[],MATCH(B7,Tb_Fuel[Year],0),HLOOKUP(Electrolysis!$E$8&amp;" - Grid",'Fuel Data'!$BB$2:$BX$3,2,FALSE)+2)=0,INDEX(Tb_Fuel[],MATCH(B7,Tb_Fuel[Year],0),HLOOKUP(Electrolysis!$E$8&amp;" - Grid",'Fuel Data'!$BB$2:$BX$3,2,FALSE)+1),INDEX(Tb_Fuel[],MATCH(B7,Tb_Fuel[Year],0),HLOOKUP(Electrolysis!$E$8&amp;" - Grid",'Fuel Data'!$BB$2:$BX$3,2,FALSE)+1))))),"")</f>
        <v>0.11</v>
      </c>
      <c r="E7" s="427">
        <f>IF(B7=Electrolysis!$E$9,0,IF(B7&lt;Electrolysis!$E$9,"",IF(B7&gt;Electrolysis!$D$26+Electrolysis!$E$9,"",IF(E6+Electrolysis!$D$50*8760&lt;Electrolysis!$D$33,E6+Electrolysis!$D$50*8760,E6+Electrolysis!$D$50*8760-Electrolysis!$D$33))))</f>
        <v>12299.04</v>
      </c>
      <c r="F7" s="426">
        <f>IF(B7=Electrolysis!$E$9,Electrolysis!$D$52,IF(B7&lt;Electrolysis!$E$9,"",IF(B7&gt;Electrolysis!$D$26+Electrolysis!$E$9,"",0)))</f>
        <v>0</v>
      </c>
      <c r="G7" s="426">
        <f>IF(B7=Electrolysis!$E$9,0,IF(B7&lt;Electrolysis!$E$9,"",IF(B7&gt;Electrolysis!$D$26+Electrolysis!$E$9,"",Electrolysis!$D$52*Electrolysis!$D$24)))</f>
        <v>14.180314685664465</v>
      </c>
      <c r="H7" s="428">
        <f>IF(B7=Electrolysis!$E$9,0,IF(B7&lt;Electrolysis!$E$9,"",IF(B7&gt;Electrolysis!$D$26+Electrolysis!$E$9,"",IF(E7&lt;E6,Electrolysis!$D$23*Electrolysis!$D$32*(1+Electrolysis!$D$35)^((MIN(B7,2030)-2021)*LOG(1-Electrolysis!$D$36,2))*(Electrolysis!$J$4/1000)^((Electrolysis!$D$39-1)*EXP(-Electrolysis!$J$4/Electrolysis!$D$41)),0))))</f>
        <v>0</v>
      </c>
      <c r="I7" s="426">
        <f>IFERROR(IF(B7=Electrolysis!$E$9,0,IF(B7&lt;Electrolysis!$E$9,"",IF(B7&gt;Electrolysis!$D$26+Electrolysis!$E$9,"",IF(Electrolysis!$E$10="Grid",IF(ISBLANK(Electrolysis!$C$20),D7*Electrolysis!$D$50*8760,Electrolysis!$D$20*Electrolysis!$D$50*8760),0)))),"-")</f>
        <v>0</v>
      </c>
      <c r="J7" s="426">
        <f>IFERROR(IF(B7=Electrolysis!$E$9,0,IF(B7&lt;Electrolysis!$E$9,"",IF(B7&gt;Electrolysis!$D$26+Electrolysis!$E$9,"",Electrolysis!$D$43*Electrolysis!$D$44*O7))),"-")</f>
        <v>0</v>
      </c>
      <c r="K7" s="426">
        <f>IFERROR(IF(B7=Electrolysis!$E$9,0,IF(B7&lt;Electrolysis!$E$9,"",IF(B7&gt;Electrolysis!$D$26+Electrolysis!$E$9,"",-Electrolysis!$D$47*Electrolysis!$D$48*O7))),"-")</f>
        <v>0</v>
      </c>
      <c r="L7" s="426">
        <f>IF(B7=Electrolysis!$E$9,SUM(F7:K7),IF(B7&lt;Electrolysis!$E$9,"",IF(B7&gt;Electrolysis!$D$26+Electrolysis!$E$9,"",SUM(F7:K7))))</f>
        <v>14.180314685664465</v>
      </c>
      <c r="M7" s="426">
        <f>IF(B7=Electrolysis!$E$9,I7/(1+Electrolysis!$D$25)^C7,IF(B7&lt;Electrolysis!$E$9,"",IF(B7&gt;Electrolysis!$D$26+Electrolysis!$E$9,"",I7/(1+Electrolysis!$D$25)^C7)))</f>
        <v>0</v>
      </c>
      <c r="N7" s="426">
        <f>IF(B7=Electrolysis!$E$9,L7/(1+Electrolysis!$D$25)^C7,IF(B7&lt;Electrolysis!$E$9,"",IF(B7&gt;Electrolysis!$D$26+Electrolysis!$E$9,"",L7/(1+Electrolysis!$D$25)^C7)))</f>
        <v>11.869541518316966</v>
      </c>
      <c r="O7" s="429">
        <f>IF(B7=Electrolysis!$E$9,0,IF(B7&lt;Electrolysis!$E$9,"",IF(B7&gt;Electrolysis!$D$26+Electrolysis!$E$9,"",IF(Electrolysis!$D$13="SOEC",'General values'!$C$3/('General values'!$C$3/(Electrolysis!$D$28-Electrolysis!$D$29*(E7+E6)/2/Electrolysis!$D$33)+'Prod Data'!$C$9/'Prod Data'!$C$10*(1-Electrolysis!$D$45))*Electrolysis!$D$50*8760/'General values'!$C$3,(Electrolysis!$D$28-Electrolysis!$D$29*(E7+E6)/2/Electrolysis!$D$33)*Electrolysis!$D$50*8760/'General values'!$C$3))))</f>
        <v>61.56200487448266</v>
      </c>
      <c r="P7" s="430">
        <f>IF(B7=Electrolysis!$E$9,O7/(1+Electrolysis!$D$25)^C7,IF(B7&lt;Electrolysis!$E$9,"",IF(B7&gt;Electrolysis!$D$26+Electrolysis!$E$9,"",O7/(1+Electrolysis!$D$25)^C7)))</f>
        <v>51.530081595947564</v>
      </c>
    </row>
    <row r="8" spans="1:20">
      <c r="B8" s="424">
        <v>2026</v>
      </c>
      <c r="C8" s="431">
        <f>IF(B8=Electrolysis!$E$9,B8-HOME!$A$9,IF(B8&lt;Electrolysis!$E$9,"",IF(B8&gt;Electrolysis!$D$26+Electrolysis!$E$9,"",B8-HOME!$A$9)))</f>
        <v>4</v>
      </c>
      <c r="D8" s="426" cm="1">
        <f t="array" ref="D8">IFERROR(IF(B8=Electrolysis!$E$9,"",IF(B8&lt;Electrolysis!$E$9,"",IF(B8&gt;Electrolysis!$D$26+Electrolysis!$E$9,"",IF(INDEX(Tb_Fuel[],MATCH(B8,Tb_Fuel[Year],0),HLOOKUP(Electrolysis!$E$8&amp;" - Grid",'Fuel Data'!$BB$2:$BX$3,2,FALSE)+2)=0,INDEX(Tb_Fuel[],MATCH(B8,Tb_Fuel[Year],0),HLOOKUP(Electrolysis!$E$8&amp;" - Grid",'Fuel Data'!$BB$2:$BX$3,2,FALSE)+1),INDEX(Tb_Fuel[],MATCH(B8,Tb_Fuel[Year],0),HLOOKUP(Electrolysis!$E$8&amp;" - Grid",'Fuel Data'!$BB$2:$BX$3,2,FALSE)+1))))),"")</f>
        <v>0.11</v>
      </c>
      <c r="E8" s="427">
        <f>IF(B8=Electrolysis!$E$9,0,IF(B8&lt;Electrolysis!$E$9,"",IF(B8&gt;Electrolysis!$D$26+Electrolysis!$E$9,"",IF(E7+Electrolysis!$D$50*8760&lt;Electrolysis!$D$33,E7+Electrolysis!$D$50*8760,E7+Electrolysis!$D$50*8760-Electrolysis!$D$33))))</f>
        <v>16398.72</v>
      </c>
      <c r="F8" s="426">
        <f>IF(B8=Electrolysis!$E$9,Electrolysis!$D$52,IF(B8&lt;Electrolysis!$E$9,"",IF(B8&gt;Electrolysis!$D$26+Electrolysis!$E$9,"",0)))</f>
        <v>0</v>
      </c>
      <c r="G8" s="426">
        <f>IF(B8=Electrolysis!$E$9,0,IF(B8&lt;Electrolysis!$E$9,"",IF(B8&gt;Electrolysis!$D$26+Electrolysis!$E$9,"",Electrolysis!$D$52*Electrolysis!$D$24)))</f>
        <v>14.180314685664465</v>
      </c>
      <c r="H8" s="428">
        <f>IF(B8=Electrolysis!$E$9,0,IF(B8&lt;Electrolysis!$E$9,"",IF(B8&gt;Electrolysis!$D$26+Electrolysis!$E$9,"",IF(E8&lt;E7,Electrolysis!$D$23*Electrolysis!$D$32*(1+Electrolysis!$D$35)^((MIN(B8,2030)-2021)*LOG(1-Electrolysis!$D$36,2))*(Electrolysis!$J$4/1000)^((Electrolysis!$D$39-1)*EXP(-Electrolysis!$J$4/Electrolysis!$D$41)),0))))</f>
        <v>0</v>
      </c>
      <c r="I8" s="426">
        <f>IFERROR(IF(B8=Electrolysis!$E$9,0,IF(B8&lt;Electrolysis!$E$9,"",IF(B8&gt;Electrolysis!$D$26+Electrolysis!$E$9,"",IF(Electrolysis!$E$10="Grid",IF(ISBLANK(Electrolysis!$C$20),D8*Electrolysis!$D$50*8760,Electrolysis!$D$20*Electrolysis!$D$50*8760),0)))),"-")</f>
        <v>0</v>
      </c>
      <c r="J8" s="426">
        <f>IFERROR(IF(B8=Electrolysis!$E$9,0,IF(B8&lt;Electrolysis!$E$9,"",IF(B8&gt;Electrolysis!$D$26+Electrolysis!$E$9,"",Electrolysis!$D$43*Electrolysis!$D$44*O8))),"-")</f>
        <v>0</v>
      </c>
      <c r="K8" s="426">
        <f>IFERROR(IF(B8=Electrolysis!$E$9,0,IF(B8&lt;Electrolysis!$E$9,"",IF(B8&gt;Electrolysis!$D$26+Electrolysis!$E$9,"",-Electrolysis!$D$47*Electrolysis!$D$48*O8))),"-")</f>
        <v>0</v>
      </c>
      <c r="L8" s="426">
        <f>IF(B8=Electrolysis!$E$9,SUM(F8:K8),IF(B8&lt;Electrolysis!$E$9,"",IF(B8&gt;Electrolysis!$D$26+Electrolysis!$E$9,"",SUM(F8:K8))))</f>
        <v>14.180314685664465</v>
      </c>
      <c r="M8" s="426">
        <f>IF(B8=Electrolysis!$E$9,I8/(1+Electrolysis!$D$25)^C8,IF(B8&lt;Electrolysis!$E$9,"",IF(B8&gt;Electrolysis!$D$26+Electrolysis!$E$9,"",I8/(1+Electrolysis!$D$25)^C8)))</f>
        <v>0</v>
      </c>
      <c r="N8" s="426">
        <f>IF(B8=Electrolysis!$E$9,L8/(1+Electrolysis!$D$25)^C8,IF(B8&lt;Electrolysis!$E$9,"",IF(B8&gt;Electrolysis!$D$26+Electrolysis!$E$9,"",L8/(1+Electrolysis!$D$25)^C8)))</f>
        <v>11.186218607297191</v>
      </c>
      <c r="O8" s="429">
        <f>IF(B8=Electrolysis!$E$9,0,IF(B8&lt;Electrolysis!$E$9,"",IF(B8&gt;Electrolysis!$D$26+Electrolysis!$E$9,"",IF(Electrolysis!$D$13="SOEC",'General values'!$C$3/('General values'!$C$3/(Electrolysis!$D$28-Electrolysis!$D$29*(E8+E7)/2/Electrolysis!$D$33)+'Prod Data'!$C$9/'Prod Data'!$C$10*(1-Electrolysis!$D$45))*Electrolysis!$D$50*8760/'General values'!$C$3,(Electrolysis!$D$28-Electrolysis!$D$29*(E8+E7)/2/Electrolysis!$D$33)*Electrolysis!$D$50*8760/'General values'!$C$3))))</f>
        <v>60.887693774889769</v>
      </c>
      <c r="P8" s="430">
        <f>IF(B8=Electrolysis!$E$9,O8/(1+Electrolysis!$D$25)^C8,IF(B8&lt;Electrolysis!$E$9,"",IF(B8&gt;Electrolysis!$D$26+Electrolysis!$E$9,"",O8/(1+Electrolysis!$D$25)^C8)))</f>
        <v>48.031589436350359</v>
      </c>
    </row>
    <row r="9" spans="1:20">
      <c r="B9" s="424">
        <v>2027</v>
      </c>
      <c r="C9" s="431">
        <f>IF(B9=Electrolysis!$E$9,B9-HOME!$A$9,IF(B9&lt;Electrolysis!$E$9,"",IF(B9&gt;Electrolysis!$D$26+Electrolysis!$E$9,"",B9-HOME!$A$9)))</f>
        <v>5</v>
      </c>
      <c r="D9" s="426" cm="1">
        <f t="array" ref="D9">IFERROR(IF(B9=Electrolysis!$E$9,"",IF(B9&lt;Electrolysis!$E$9,"",IF(B9&gt;Electrolysis!$D$26+Electrolysis!$E$9,"",IF(INDEX(Tb_Fuel[],MATCH(B9,Tb_Fuel[Year],0),HLOOKUP(Electrolysis!$E$8&amp;" - Grid",'Fuel Data'!$BB$2:$BX$3,2,FALSE)+2)=0,INDEX(Tb_Fuel[],MATCH(B9,Tb_Fuel[Year],0),HLOOKUP(Electrolysis!$E$8&amp;" - Grid",'Fuel Data'!$BB$2:$BX$3,2,FALSE)+1),INDEX(Tb_Fuel[],MATCH(B9,Tb_Fuel[Year],0),HLOOKUP(Electrolysis!$E$8&amp;" - Grid",'Fuel Data'!$BB$2:$BX$3,2,FALSE)+1))))),"")</f>
        <v>0.11</v>
      </c>
      <c r="E9" s="427">
        <f>IF(B9=Electrolysis!$E$9,0,IF(B9&lt;Electrolysis!$E$9,"",IF(B9&gt;Electrolysis!$D$26+Electrolysis!$E$9,"",IF(E8+Electrolysis!$D$50*8760&lt;Electrolysis!$D$33,E8+Electrolysis!$D$50*8760,E8+Electrolysis!$D$50*8760-Electrolysis!$D$33))))</f>
        <v>20498.400000000001</v>
      </c>
      <c r="F9" s="426">
        <f>IF(B9=Electrolysis!$E$9,Electrolysis!$D$52,IF(B9&lt;Electrolysis!$E$9,"",IF(B9&gt;Electrolysis!$D$26+Electrolysis!$E$9,"",0)))</f>
        <v>0</v>
      </c>
      <c r="G9" s="426">
        <f>IF(B9=Electrolysis!$E$9,0,IF(B9&lt;Electrolysis!$E$9,"",IF(B9&gt;Electrolysis!$D$26+Electrolysis!$E$9,"",Electrolysis!$D$52*Electrolysis!$D$24)))</f>
        <v>14.180314685664465</v>
      </c>
      <c r="H9" s="428">
        <f>IF(B9=Electrolysis!$E$9,0,IF(B9&lt;Electrolysis!$E$9,"",IF(B9&gt;Electrolysis!$D$26+Electrolysis!$E$9,"",IF(E9&lt;E8,Electrolysis!$D$23*Electrolysis!$D$32*(1+Electrolysis!$D$35)^((MIN(B9,2030)-2021)*LOG(1-Electrolysis!$D$36,2))*(Electrolysis!$J$4/1000)^((Electrolysis!$D$39-1)*EXP(-Electrolysis!$J$4/Electrolysis!$D$41)),0))))</f>
        <v>0</v>
      </c>
      <c r="I9" s="426">
        <f>IFERROR(IF(B9=Electrolysis!$E$9,0,IF(B9&lt;Electrolysis!$E$9,"",IF(B9&gt;Electrolysis!$D$26+Electrolysis!$E$9,"",IF(Electrolysis!$E$10="Grid",IF(ISBLANK(Electrolysis!$C$20),D9*Electrolysis!$D$50*8760,Electrolysis!$D$20*Electrolysis!$D$50*8760),0)))),"-")</f>
        <v>0</v>
      </c>
      <c r="J9" s="426">
        <f>IFERROR(IF(B9=Electrolysis!$E$9,0,IF(B9&lt;Electrolysis!$E$9,"",IF(B9&gt;Electrolysis!$D$26+Electrolysis!$E$9,"",Electrolysis!$D$43*Electrolysis!$D$44*O9))),"-")</f>
        <v>0</v>
      </c>
      <c r="K9" s="426">
        <f>IFERROR(IF(B9=Electrolysis!$E$9,0,IF(B9&lt;Electrolysis!$E$9,"",IF(B9&gt;Electrolysis!$D$26+Electrolysis!$E$9,"",-Electrolysis!$D$47*Electrolysis!$D$48*O9))),"-")</f>
        <v>0</v>
      </c>
      <c r="L9" s="426">
        <f>IF(B9=Electrolysis!$E$9,SUM(F9:K9),IF(B9&lt;Electrolysis!$E$9,"",IF(B9&gt;Electrolysis!$D$26+Electrolysis!$E$9,"",SUM(F9:K9))))</f>
        <v>14.180314685664465</v>
      </c>
      <c r="M9" s="426">
        <f>IF(B9=Electrolysis!$E$9,I9/(1+Electrolysis!$D$25)^C9,IF(B9&lt;Electrolysis!$E$9,"",IF(B9&gt;Electrolysis!$D$26+Electrolysis!$E$9,"",I9/(1+Electrolysis!$D$25)^C9)))</f>
        <v>0</v>
      </c>
      <c r="N9" s="426">
        <f>IF(B9=Electrolysis!$E$9,L9/(1+Electrolysis!$D$25)^C9,IF(B9&lt;Electrolysis!$E$9,"",IF(B9&gt;Electrolysis!$D$26+Electrolysis!$E$9,"",L9/(1+Electrolysis!$D$25)^C9)))</f>
        <v>10.542234216640983</v>
      </c>
      <c r="O9" s="429">
        <f>IF(B9=Electrolysis!$E$9,0,IF(B9&lt;Electrolysis!$E$9,"",IF(B9&gt;Electrolysis!$D$26+Electrolysis!$E$9,"",IF(Electrolysis!$D$13="SOEC",'General values'!$C$3/('General values'!$C$3/(Electrolysis!$D$28-Electrolysis!$D$29*(E9+E8)/2/Electrolysis!$D$33)+'Prod Data'!$C$9/'Prod Data'!$C$10*(1-Electrolysis!$D$45))*Electrolysis!$D$50*8760/'General values'!$C$3,(Electrolysis!$D$28-Electrolysis!$D$29*(E9+E8)/2/Electrolysis!$D$33)*Electrolysis!$D$50*8760/'General values'!$C$3))))</f>
        <v>60.21338267529687</v>
      </c>
      <c r="P9" s="430">
        <f>IF(B9=Electrolysis!$E$9,O9/(1+Electrolysis!$D$25)^C9,IF(B9&lt;Electrolysis!$E$9,"",IF(B9&gt;Electrolysis!$D$26+Electrolysis!$E$9,"",O9/(1+Electrolysis!$D$25)^C9)))</f>
        <v>44.765126671056464</v>
      </c>
    </row>
    <row r="10" spans="1:20">
      <c r="B10" s="424">
        <v>2028</v>
      </c>
      <c r="C10" s="431">
        <f>IF(B10=Electrolysis!$E$9,B10-HOME!$A$9,IF(B10&lt;Electrolysis!$E$9,"",IF(B10&gt;Electrolysis!$D$26+Electrolysis!$E$9,"",B10-HOME!$A$9)))</f>
        <v>6</v>
      </c>
      <c r="D10" s="426" cm="1">
        <f t="array" ref="D10">IFERROR(IF(B10=Electrolysis!$E$9,"",IF(B10&lt;Electrolysis!$E$9,"",IF(B10&gt;Electrolysis!$D$26+Electrolysis!$E$9,"",IF(INDEX(Tb_Fuel[],MATCH(B10,Tb_Fuel[Year],0),HLOOKUP(Electrolysis!$E$8&amp;" - Grid",'Fuel Data'!$BB$2:$BX$3,2,FALSE)+2)=0,INDEX(Tb_Fuel[],MATCH(B10,Tb_Fuel[Year],0),HLOOKUP(Electrolysis!$E$8&amp;" - Grid",'Fuel Data'!$BB$2:$BX$3,2,FALSE)+1),INDEX(Tb_Fuel[],MATCH(B10,Tb_Fuel[Year],0),HLOOKUP(Electrolysis!$E$8&amp;" - Grid",'Fuel Data'!$BB$2:$BX$3,2,FALSE)+1))))),"")</f>
        <v>0.11</v>
      </c>
      <c r="E10" s="427">
        <f>IF(B10=Electrolysis!$E$9,0,IF(B10&lt;Electrolysis!$E$9,"",IF(B10&gt;Electrolysis!$D$26+Electrolysis!$E$9,"",IF(E9+Electrolysis!$D$50*8760&lt;Electrolysis!$D$33,E9+Electrolysis!$D$50*8760,E9+Electrolysis!$D$50*8760-Electrolysis!$D$33))))</f>
        <v>24598.080000000002</v>
      </c>
      <c r="F10" s="426">
        <f>IF(B10=Electrolysis!$E$9,Electrolysis!$D$52,IF(B10&lt;Electrolysis!$E$9,"",IF(B10&gt;Electrolysis!$D$26+Electrolysis!$E$9,"",0)))</f>
        <v>0</v>
      </c>
      <c r="G10" s="426">
        <f>IF(B10=Electrolysis!$E$9,0,IF(B10&lt;Electrolysis!$E$9,"",IF(B10&gt;Electrolysis!$D$26+Electrolysis!$E$9,"",Electrolysis!$D$52*Electrolysis!$D$24)))</f>
        <v>14.180314685664465</v>
      </c>
      <c r="H10" s="428">
        <f>IF(B10=Electrolysis!$E$9,0,IF(B10&lt;Electrolysis!$E$9,"",IF(B10&gt;Electrolysis!$D$26+Electrolysis!$E$9,"",IF(E10&lt;E9,Electrolysis!$D$23*Electrolysis!$D$32*(1+Electrolysis!$D$35)^((MIN(B10,2030)-2021)*LOG(1-Electrolysis!$D$36,2))*(Electrolysis!$J$4/1000)^((Electrolysis!$D$39-1)*EXP(-Electrolysis!$J$4/Electrolysis!$D$41)),0))))</f>
        <v>0</v>
      </c>
      <c r="I10" s="426">
        <f>IFERROR(IF(B10=Electrolysis!$E$9,0,IF(B10&lt;Electrolysis!$E$9,"",IF(B10&gt;Electrolysis!$D$26+Electrolysis!$E$9,"",IF(Electrolysis!$E$10="Grid",IF(ISBLANK(Electrolysis!$C$20),D10*Electrolysis!$D$50*8760,Electrolysis!$D$20*Electrolysis!$D$50*8760),0)))),"-")</f>
        <v>0</v>
      </c>
      <c r="J10" s="426">
        <f>IFERROR(IF(B10=Electrolysis!$E$9,0,IF(B10&lt;Electrolysis!$E$9,"",IF(B10&gt;Electrolysis!$D$26+Electrolysis!$E$9,"",Electrolysis!$D$43*Electrolysis!$D$44*O10))),"-")</f>
        <v>0</v>
      </c>
      <c r="K10" s="426">
        <f>IFERROR(IF(B10=Electrolysis!$E$9,0,IF(B10&lt;Electrolysis!$E$9,"",IF(B10&gt;Electrolysis!$D$26+Electrolysis!$E$9,"",-Electrolysis!$D$47*Electrolysis!$D$48*O10))),"-")</f>
        <v>0</v>
      </c>
      <c r="L10" s="426">
        <f>IF(B10=Electrolysis!$E$9,SUM(F10:K10),IF(B10&lt;Electrolysis!$E$9,"",IF(B10&gt;Electrolysis!$D$26+Electrolysis!$E$9,"",SUM(F10:K10))))</f>
        <v>14.180314685664465</v>
      </c>
      <c r="M10" s="426">
        <f>IF(B10=Electrolysis!$E$9,I10/(1+Electrolysis!$D$25)^C10,IF(B10&lt;Electrolysis!$E$9,"",IF(B10&gt;Electrolysis!$D$26+Electrolysis!$E$9,"",I10/(1+Electrolysis!$D$25)^C10)))</f>
        <v>0</v>
      </c>
      <c r="N10" s="426">
        <f>IF(B10=Electrolysis!$E$9,L10/(1+Electrolysis!$D$25)^C10,IF(B10&lt;Electrolysis!$E$9,"",IF(B10&gt;Electrolysis!$D$26+Electrolysis!$E$9,"",L10/(1+Electrolysis!$D$25)^C10)))</f>
        <v>9.9353236495857473</v>
      </c>
      <c r="O10" s="429">
        <f>IF(B10=Electrolysis!$E$9,0,IF(B10&lt;Electrolysis!$E$9,"",IF(B10&gt;Electrolysis!$D$26+Electrolysis!$E$9,"",IF(Electrolysis!$D$13="SOEC",'General values'!$C$3/('General values'!$C$3/(Electrolysis!$D$28-Electrolysis!$D$29*(E10+E9)/2/Electrolysis!$D$33)+'Prod Data'!$C$9/'Prod Data'!$C$10*(1-Electrolysis!$D$45))*Electrolysis!$D$50*8760/'General values'!$C$3,(Electrolysis!$D$28-Electrolysis!$D$29*(E10+E9)/2/Electrolysis!$D$33)*Electrolysis!$D$50*8760/'General values'!$C$3))))</f>
        <v>59.539071575703986</v>
      </c>
      <c r="P10" s="430">
        <f>IF(B10=Electrolysis!$E$9,O10/(1+Electrolysis!$D$25)^C10,IF(B10&lt;Electrolysis!$E$9,"",IF(B10&gt;Electrolysis!$D$26+Electrolysis!$E$9,"",O10/(1+Electrolysis!$D$25)^C10)))</f>
        <v>41.715572539337607</v>
      </c>
    </row>
    <row r="11" spans="1:20">
      <c r="B11" s="424">
        <v>2029</v>
      </c>
      <c r="C11" s="431">
        <f>IF(B11=Electrolysis!$E$9,B11-HOME!$A$9,IF(B11&lt;Electrolysis!$E$9,"",IF(B11&gt;Electrolysis!$D$26+Electrolysis!$E$9,"",B11-HOME!$A$9)))</f>
        <v>7</v>
      </c>
      <c r="D11" s="426" cm="1">
        <f t="array" ref="D11">IFERROR(IF(B11=Electrolysis!$E$9,"",IF(B11&lt;Electrolysis!$E$9,"",IF(B11&gt;Electrolysis!$D$26+Electrolysis!$E$9,"",IF(INDEX(Tb_Fuel[],MATCH(B11,Tb_Fuel[Year],0),HLOOKUP(Electrolysis!$E$8&amp;" - Grid",'Fuel Data'!$BB$2:$BX$3,2,FALSE)+2)=0,INDEX(Tb_Fuel[],MATCH(B11,Tb_Fuel[Year],0),HLOOKUP(Electrolysis!$E$8&amp;" - Grid",'Fuel Data'!$BB$2:$BX$3,2,FALSE)+1),INDEX(Tb_Fuel[],MATCH(B11,Tb_Fuel[Year],0),HLOOKUP(Electrolysis!$E$8&amp;" - Grid",'Fuel Data'!$BB$2:$BX$3,2,FALSE)+1))))),"")</f>
        <v>0.11</v>
      </c>
      <c r="E11" s="427">
        <f>IF(B11=Electrolysis!$E$9,0,IF(B11&lt;Electrolysis!$E$9,"",IF(B11&gt;Electrolysis!$D$26+Electrolysis!$E$9,"",IF(E10+Electrolysis!$D$50*8760&lt;Electrolysis!$D$33,E10+Electrolysis!$D$50*8760,E10+Electrolysis!$D$50*8760-Electrolysis!$D$33))))</f>
        <v>28697.760000000002</v>
      </c>
      <c r="F11" s="426">
        <f>IF(B11=Electrolysis!$E$9,Electrolysis!$D$52,IF(B11&lt;Electrolysis!$E$9,"",IF(B11&gt;Electrolysis!$D$26+Electrolysis!$E$9,"",0)))</f>
        <v>0</v>
      </c>
      <c r="G11" s="426">
        <f>IF(B11=Electrolysis!$E$9,0,IF(B11&lt;Electrolysis!$E$9,"",IF(B11&gt;Electrolysis!$D$26+Electrolysis!$E$9,"",Electrolysis!$D$52*Electrolysis!$D$24)))</f>
        <v>14.180314685664465</v>
      </c>
      <c r="H11" s="428">
        <f>IF(B11=Electrolysis!$E$9,0,IF(B11&lt;Electrolysis!$E$9,"",IF(B11&gt;Electrolysis!$D$26+Electrolysis!$E$9,"",IF(E11&lt;E10,Electrolysis!$D$23*Electrolysis!$D$32*(1+Electrolysis!$D$35)^((MIN(B11,2030)-2021)*LOG(1-Electrolysis!$D$36,2))*(Electrolysis!$J$4/1000)^((Electrolysis!$D$39-1)*EXP(-Electrolysis!$J$4/Electrolysis!$D$41)),0))))</f>
        <v>0</v>
      </c>
      <c r="I11" s="426">
        <f>IFERROR(IF(B11=Electrolysis!$E$9,0,IF(B11&lt;Electrolysis!$E$9,"",IF(B11&gt;Electrolysis!$D$26+Electrolysis!$E$9,"",IF(Electrolysis!$E$10="Grid",IF(ISBLANK(Electrolysis!$C$20),D11*Electrolysis!$D$50*8760,Electrolysis!$D$20*Electrolysis!$D$50*8760),0)))),"-")</f>
        <v>0</v>
      </c>
      <c r="J11" s="426">
        <f>IFERROR(IF(B11=Electrolysis!$E$9,0,IF(B11&lt;Electrolysis!$E$9,"",IF(B11&gt;Electrolysis!$D$26+Electrolysis!$E$9,"",Electrolysis!$D$43*Electrolysis!$D$44*O11))),"-")</f>
        <v>0</v>
      </c>
      <c r="K11" s="426">
        <f>IFERROR(IF(B11=Electrolysis!$E$9,0,IF(B11&lt;Electrolysis!$E$9,"",IF(B11&gt;Electrolysis!$D$26+Electrolysis!$E$9,"",-Electrolysis!$D$47*Electrolysis!$D$48*O11))),"-")</f>
        <v>0</v>
      </c>
      <c r="L11" s="426">
        <f>IF(B11=Electrolysis!$E$9,SUM(F11:K11),IF(B11&lt;Electrolysis!$E$9,"",IF(B11&gt;Electrolysis!$D$26+Electrolysis!$E$9,"",SUM(F11:K11))))</f>
        <v>14.180314685664465</v>
      </c>
      <c r="M11" s="426">
        <f>IF(B11=Electrolysis!$E$9,I11/(1+Electrolysis!$D$25)^C11,IF(B11&lt;Electrolysis!$E$9,"",IF(B11&gt;Electrolysis!$D$26+Electrolysis!$E$9,"",I11/(1+Electrolysis!$D$25)^C11)))</f>
        <v>0</v>
      </c>
      <c r="N11" s="426">
        <f>IF(B11=Electrolysis!$E$9,L11/(1+Electrolysis!$D$25)^C11,IF(B11&lt;Electrolysis!$E$9,"",IF(B11&gt;Electrolysis!$D$26+Electrolysis!$E$9,"",L11/(1+Electrolysis!$D$25)^C11)))</f>
        <v>9.3633525867033445</v>
      </c>
      <c r="O11" s="429">
        <f>IF(B11=Electrolysis!$E$9,0,IF(B11&lt;Electrolysis!$E$9,"",IF(B11&gt;Electrolysis!$D$26+Electrolysis!$E$9,"",IF(Electrolysis!$D$13="SOEC",'General values'!$C$3/('General values'!$C$3/(Electrolysis!$D$28-Electrolysis!$D$29*(E11+E10)/2/Electrolysis!$D$33)+'Prod Data'!$C$9/'Prod Data'!$C$10*(1-Electrolysis!$D$45))*Electrolysis!$D$50*8760/'General values'!$C$3,(Electrolysis!$D$28-Electrolysis!$D$29*(E11+E10)/2/Electrolysis!$D$33)*Electrolysis!$D$50*8760/'General values'!$C$3))))</f>
        <v>58.864760476111108</v>
      </c>
      <c r="P11" s="430">
        <f>IF(B11=Electrolysis!$E$9,O11/(1+Electrolysis!$D$25)^C11,IF(B11&lt;Electrolysis!$E$9,"",IF(B11&gt;Electrolysis!$D$26+Electrolysis!$E$9,"",O11/(1+Electrolysis!$D$25)^C11)))</f>
        <v>38.868778266738502</v>
      </c>
    </row>
    <row r="12" spans="1:20">
      <c r="B12" s="424">
        <v>2030</v>
      </c>
      <c r="C12" s="431">
        <f>IF(B12=Electrolysis!$E$9,B12-HOME!$A$9,IF(B12&lt;Electrolysis!$E$9,"",IF(B12&gt;Electrolysis!$D$26+Electrolysis!$E$9,"",B12-HOME!$A$9)))</f>
        <v>8</v>
      </c>
      <c r="D12" s="426" cm="1">
        <f t="array" ref="D12">IFERROR(IF(B12=Electrolysis!$E$9,"",IF(B12&lt;Electrolysis!$E$9,"",IF(B12&gt;Electrolysis!$D$26+Electrolysis!$E$9,"",IF(INDEX(Tb_Fuel[],MATCH(B12,Tb_Fuel[Year],0),HLOOKUP(Electrolysis!$E$8&amp;" - Grid",'Fuel Data'!$BB$2:$BX$3,2,FALSE)+2)=0,INDEX(Tb_Fuel[],MATCH(B12,Tb_Fuel[Year],0),HLOOKUP(Electrolysis!$E$8&amp;" - Grid",'Fuel Data'!$BB$2:$BX$3,2,FALSE)+1),INDEX(Tb_Fuel[],MATCH(B12,Tb_Fuel[Year],0),HLOOKUP(Electrolysis!$E$8&amp;" - Grid",'Fuel Data'!$BB$2:$BX$3,2,FALSE)+1))))),"")</f>
        <v>0.11</v>
      </c>
      <c r="E12" s="427">
        <f>IF(B12=Electrolysis!$E$9,0,IF(B12&lt;Electrolysis!$E$9,"",IF(B12&gt;Electrolysis!$D$26+Electrolysis!$E$9,"",IF(E11+Electrolysis!$D$50*8760&lt;Electrolysis!$D$33,E11+Electrolysis!$D$50*8760,E11+Electrolysis!$D$50*8760-Electrolysis!$D$33))))</f>
        <v>32797.440000000002</v>
      </c>
      <c r="F12" s="426">
        <f>IF(B12=Electrolysis!$E$9,Electrolysis!$D$52,IF(B12&lt;Electrolysis!$E$9,"",IF(B12&gt;Electrolysis!$D$26+Electrolysis!$E$9,"",0)))</f>
        <v>0</v>
      </c>
      <c r="G12" s="426">
        <f>IF(B12=Electrolysis!$E$9,0,IF(B12&lt;Electrolysis!$E$9,"",IF(B12&gt;Electrolysis!$D$26+Electrolysis!$E$9,"",Electrolysis!$D$52*Electrolysis!$D$24)))</f>
        <v>14.180314685664465</v>
      </c>
      <c r="H12" s="428">
        <f>IF(B12=Electrolysis!$E$9,0,IF(B12&lt;Electrolysis!$E$9,"",IF(B12&gt;Electrolysis!$D$26+Electrolysis!$E$9,"",IF(E12&lt;E11,Electrolysis!$D$23*Electrolysis!$D$32*(1+Electrolysis!$D$35)^((MIN(B12,2030)-2021)*LOG(1-Electrolysis!$D$36,2))*(Electrolysis!$J$4/1000)^((Electrolysis!$D$39-1)*EXP(-Electrolysis!$J$4/Electrolysis!$D$41)),0))))</f>
        <v>0</v>
      </c>
      <c r="I12" s="426">
        <f>IFERROR(IF(B12=Electrolysis!$E$9,0,IF(B12&lt;Electrolysis!$E$9,"",IF(B12&gt;Electrolysis!$D$26+Electrolysis!$E$9,"",IF(Electrolysis!$E$10="Grid",IF(ISBLANK(Electrolysis!$C$20),D12*Electrolysis!$D$50*8760,Electrolysis!$D$20*Electrolysis!$D$50*8760),0)))),"-")</f>
        <v>0</v>
      </c>
      <c r="J12" s="426">
        <f>IFERROR(IF(B12=Electrolysis!$E$9,0,IF(B12&lt;Electrolysis!$E$9,"",IF(B12&gt;Electrolysis!$D$26+Electrolysis!$E$9,"",Electrolysis!$D$43*Electrolysis!$D$44*O12))),"-")</f>
        <v>0</v>
      </c>
      <c r="K12" s="426">
        <f>IFERROR(IF(B12=Electrolysis!$E$9,0,IF(B12&lt;Electrolysis!$E$9,"",IF(B12&gt;Electrolysis!$D$26+Electrolysis!$E$9,"",-Electrolysis!$D$47*Electrolysis!$D$48*O12))),"-")</f>
        <v>0</v>
      </c>
      <c r="L12" s="426">
        <f>IF(B12=Electrolysis!$E$9,SUM(F12:K12),IF(B12&lt;Electrolysis!$E$9,"",IF(B12&gt;Electrolysis!$D$26+Electrolysis!$E$9,"",SUM(F12:K12))))</f>
        <v>14.180314685664465</v>
      </c>
      <c r="M12" s="426">
        <f>IF(B12=Electrolysis!$E$9,I12/(1+Electrolysis!$D$25)^C12,IF(B12&lt;Electrolysis!$E$9,"",IF(B12&gt;Electrolysis!$D$26+Electrolysis!$E$9,"",I12/(1+Electrolysis!$D$25)^C12)))</f>
        <v>0</v>
      </c>
      <c r="N12" s="426">
        <f>IF(B12=Electrolysis!$E$9,L12/(1+Electrolysis!$D$25)^C12,IF(B12&lt;Electrolysis!$E$9,"",IF(B12&gt;Electrolysis!$D$26+Electrolysis!$E$9,"",L12/(1+Electrolysis!$D$25)^C12)))</f>
        <v>8.8243095801493805</v>
      </c>
      <c r="O12" s="429">
        <f>IF(B12=Electrolysis!$E$9,0,IF(B12&lt;Electrolysis!$E$9,"",IF(B12&gt;Electrolysis!$D$26+Electrolysis!$E$9,"",IF(Electrolysis!$D$13="SOEC",'General values'!$C$3/('General values'!$C$3/(Electrolysis!$D$28-Electrolysis!$D$29*(E12+E11)/2/Electrolysis!$D$33)+'Prod Data'!$C$9/'Prod Data'!$C$10*(1-Electrolysis!$D$45))*Electrolysis!$D$50*8760/'General values'!$C$3,(Electrolysis!$D$28-Electrolysis!$D$29*(E12+E11)/2/Electrolysis!$D$33)*Electrolysis!$D$50*8760/'General values'!$C$3))))</f>
        <v>58.190449376518217</v>
      </c>
      <c r="P12" s="430">
        <f>IF(B12=Electrolysis!$E$9,O12/(1+Electrolysis!$D$25)^C12,IF(B12&lt;Electrolysis!$E$9,"",IF(B12&gt;Electrolysis!$D$26+Electrolysis!$E$9,"",O12/(1+Electrolysis!$D$25)^C12)))</f>
        <v>36.211505265501515</v>
      </c>
    </row>
    <row r="13" spans="1:20">
      <c r="B13" s="424">
        <v>2031</v>
      </c>
      <c r="C13" s="431">
        <f>IF(B13=Electrolysis!$E$9,B13-HOME!$A$9,IF(B13&lt;Electrolysis!$E$9,"",IF(B13&gt;Electrolysis!$D$26+Electrolysis!$E$9,"",B13-HOME!$A$9)))</f>
        <v>9</v>
      </c>
      <c r="D13" s="426" cm="1">
        <f t="array" ref="D13">IFERROR(IF(B13=Electrolysis!$E$9,"",IF(B13&lt;Electrolysis!$E$9,"",IF(B13&gt;Electrolysis!$D$26+Electrolysis!$E$9,"",IF(INDEX(Tb_Fuel[],MATCH(B13,Tb_Fuel[Year],0),HLOOKUP(Electrolysis!$E$8&amp;" - Grid",'Fuel Data'!$BB$2:$BX$3,2,FALSE)+2)=0,INDEX(Tb_Fuel[],MATCH(B13,Tb_Fuel[Year],0),HLOOKUP(Electrolysis!$E$8&amp;" - Grid",'Fuel Data'!$BB$2:$BX$3,2,FALSE)+1),INDEX(Tb_Fuel[],MATCH(B13,Tb_Fuel[Year],0),HLOOKUP(Electrolysis!$E$8&amp;" - Grid",'Fuel Data'!$BB$2:$BX$3,2,FALSE)+1))))),"")</f>
        <v>0.11</v>
      </c>
      <c r="E13" s="427">
        <f>IF(B13=Electrolysis!$E$9,0,IF(B13&lt;Electrolysis!$E$9,"",IF(B13&gt;Electrolysis!$D$26+Electrolysis!$E$9,"",IF(E12+Electrolysis!$D$50*8760&lt;Electrolysis!$D$33,E12+Electrolysis!$D$50*8760,E12+Electrolysis!$D$50*8760-Electrolysis!$D$33))))</f>
        <v>36897.120000000003</v>
      </c>
      <c r="F13" s="426">
        <f>IF(B13=Electrolysis!$E$9,Electrolysis!$D$52,IF(B13&lt;Electrolysis!$E$9,"",IF(B13&gt;Electrolysis!$D$26+Electrolysis!$E$9,"",0)))</f>
        <v>0</v>
      </c>
      <c r="G13" s="426">
        <f>IF(B13=Electrolysis!$E$9,0,IF(B13&lt;Electrolysis!$E$9,"",IF(B13&gt;Electrolysis!$D$26+Electrolysis!$E$9,"",Electrolysis!$D$52*Electrolysis!$D$24)))</f>
        <v>14.180314685664465</v>
      </c>
      <c r="H13" s="428">
        <f>IF(B13=Electrolysis!$E$9,0,IF(B13&lt;Electrolysis!$E$9,"",IF(B13&gt;Electrolysis!$D$26+Electrolysis!$E$9,"",IF(E13&lt;E12,Electrolysis!$D$23*Electrolysis!$D$32*(1+Electrolysis!$D$35)^((MIN(B13,2030)-2021)*LOG(1-Electrolysis!$D$36,2))*(Electrolysis!$J$4/1000)^((Electrolysis!$D$39-1)*EXP(-Electrolysis!$J$4/Electrolysis!$D$41)),0))))</f>
        <v>0</v>
      </c>
      <c r="I13" s="426">
        <f>IFERROR(IF(B13=Electrolysis!$E$9,0,IF(B13&lt;Electrolysis!$E$9,"",IF(B13&gt;Electrolysis!$D$26+Electrolysis!$E$9,"",IF(Electrolysis!$E$10="Grid",IF(ISBLANK(Electrolysis!$C$20),D13*Electrolysis!$D$50*8760,Electrolysis!$D$20*Electrolysis!$D$50*8760),0)))),"-")</f>
        <v>0</v>
      </c>
      <c r="J13" s="426">
        <f>IFERROR(IF(B13=Electrolysis!$E$9,0,IF(B13&lt;Electrolysis!$E$9,"",IF(B13&gt;Electrolysis!$D$26+Electrolysis!$E$9,"",Electrolysis!$D$43*Electrolysis!$D$44*O13))),"-")</f>
        <v>0</v>
      </c>
      <c r="K13" s="426">
        <f>IFERROR(IF(B13=Electrolysis!$E$9,0,IF(B13&lt;Electrolysis!$E$9,"",IF(B13&gt;Electrolysis!$D$26+Electrolysis!$E$9,"",-Electrolysis!$D$47*Electrolysis!$D$48*O13))),"-")</f>
        <v>0</v>
      </c>
      <c r="L13" s="426">
        <f>IF(B13=Electrolysis!$E$9,SUM(F13:K13),IF(B13&lt;Electrolysis!$E$9,"",IF(B13&gt;Electrolysis!$D$26+Electrolysis!$E$9,"",SUM(F13:K13))))</f>
        <v>14.180314685664465</v>
      </c>
      <c r="M13" s="426">
        <f>IF(B13=Electrolysis!$E$9,I13/(1+Electrolysis!$D$25)^C13,IF(B13&lt;Electrolysis!$E$9,"",IF(B13&gt;Electrolysis!$D$26+Electrolysis!$E$9,"",I13/(1+Electrolysis!$D$25)^C13)))</f>
        <v>0</v>
      </c>
      <c r="N13" s="426">
        <f>IF(B13=Electrolysis!$E$9,L13/(1+Electrolysis!$D$25)^C13,IF(B13&lt;Electrolysis!$E$9,"",IF(B13&gt;Electrolysis!$D$26+Electrolysis!$E$9,"",L13/(1+Electrolysis!$D$25)^C13)))</f>
        <v>8.3162989800143912</v>
      </c>
      <c r="O13" s="429">
        <f>IF(B13=Electrolysis!$E$9,0,IF(B13&lt;Electrolysis!$E$9,"",IF(B13&gt;Electrolysis!$D$26+Electrolysis!$E$9,"",IF(Electrolysis!$D$13="SOEC",'General values'!$C$3/('General values'!$C$3/(Electrolysis!$D$28-Electrolysis!$D$29*(E13+E12)/2/Electrolysis!$D$33)+'Prod Data'!$C$9/'Prod Data'!$C$10*(1-Electrolysis!$D$45))*Electrolysis!$D$50*8760/'General values'!$C$3,(Electrolysis!$D$28-Electrolysis!$D$29*(E13+E12)/2/Electrolysis!$D$33)*Electrolysis!$D$50*8760/'General values'!$C$3))))</f>
        <v>57.516138276925332</v>
      </c>
      <c r="P13" s="430">
        <f>IF(B13=Electrolysis!$E$9,O13/(1+Electrolysis!$D$25)^C13,IF(B13&lt;Electrolysis!$E$9,"",IF(B13&gt;Electrolysis!$D$26+Electrolysis!$E$9,"",O13/(1+Electrolysis!$D$25)^C13)))</f>
        <v>33.731367229129127</v>
      </c>
    </row>
    <row r="14" spans="1:20">
      <c r="B14" s="424">
        <v>2032</v>
      </c>
      <c r="C14" s="431">
        <f>IF(B14=Electrolysis!$E$9,B14-HOME!$A$9,IF(B14&lt;Electrolysis!$E$9,"",IF(B14&gt;Electrolysis!$D$26+Electrolysis!$E$9,"",B14-HOME!$A$9)))</f>
        <v>10</v>
      </c>
      <c r="D14" s="426" cm="1">
        <f t="array" ref="D14">IFERROR(IF(B14=Electrolysis!$E$9,"",IF(B14&lt;Electrolysis!$E$9,"",IF(B14&gt;Electrolysis!$D$26+Electrolysis!$E$9,"",IF(INDEX(Tb_Fuel[],MATCH(B14,Tb_Fuel[Year],0),HLOOKUP(Electrolysis!$E$8&amp;" - Grid",'Fuel Data'!$BB$2:$BX$3,2,FALSE)+2)=0,INDEX(Tb_Fuel[],MATCH(B14,Tb_Fuel[Year],0),HLOOKUP(Electrolysis!$E$8&amp;" - Grid",'Fuel Data'!$BB$2:$BX$3,2,FALSE)+1),INDEX(Tb_Fuel[],MATCH(B14,Tb_Fuel[Year],0),HLOOKUP(Electrolysis!$E$8&amp;" - Grid",'Fuel Data'!$BB$2:$BX$3,2,FALSE)+1))))),"")</f>
        <v>0.11</v>
      </c>
      <c r="E14" s="427">
        <f>IF(B14=Electrolysis!$E$9,0,IF(B14&lt;Electrolysis!$E$9,"",IF(B14&gt;Electrolysis!$D$26+Electrolysis!$E$9,"",IF(E13+Electrolysis!$D$50*8760&lt;Electrolysis!$D$33,E13+Electrolysis!$D$50*8760,E13+Electrolysis!$D$50*8760-Electrolysis!$D$33))))</f>
        <v>40996.800000000003</v>
      </c>
      <c r="F14" s="426">
        <f>IF(B14=Electrolysis!$E$9,Electrolysis!$D$52,IF(B14&lt;Electrolysis!$E$9,"",IF(B14&gt;Electrolysis!$D$26+Electrolysis!$E$9,"",0)))</f>
        <v>0</v>
      </c>
      <c r="G14" s="426">
        <f>IF(B14=Electrolysis!$E$9,0,IF(B14&lt;Electrolysis!$E$9,"",IF(B14&gt;Electrolysis!$D$26+Electrolysis!$E$9,"",Electrolysis!$D$52*Electrolysis!$D$24)))</f>
        <v>14.180314685664465</v>
      </c>
      <c r="H14" s="428">
        <f>IF(B14=Electrolysis!$E$9,0,IF(B14&lt;Electrolysis!$E$9,"",IF(B14&gt;Electrolysis!$D$26+Electrolysis!$E$9,"",IF(E14&lt;E13,Electrolysis!$D$23*Electrolysis!$D$32*(1+Electrolysis!$D$35)^((MIN(B14,2030)-2021)*LOG(1-Electrolysis!$D$36,2))*(Electrolysis!$J$4/1000)^((Electrolysis!$D$39-1)*EXP(-Electrolysis!$J$4/Electrolysis!$D$41)),0))))</f>
        <v>0</v>
      </c>
      <c r="I14" s="426">
        <f>IFERROR(IF(B14=Electrolysis!$E$9,0,IF(B14&lt;Electrolysis!$E$9,"",IF(B14&gt;Electrolysis!$D$26+Electrolysis!$E$9,"",IF(Electrolysis!$E$10="Grid",IF(ISBLANK(Electrolysis!$C$20),D14*Electrolysis!$D$50*8760,Electrolysis!$D$20*Electrolysis!$D$50*8760),0)))),"-")</f>
        <v>0</v>
      </c>
      <c r="J14" s="426">
        <f>IFERROR(IF(B14=Electrolysis!$E$9,0,IF(B14&lt;Electrolysis!$E$9,"",IF(B14&gt;Electrolysis!$D$26+Electrolysis!$E$9,"",Electrolysis!$D$43*Electrolysis!$D$44*O14))),"-")</f>
        <v>0</v>
      </c>
      <c r="K14" s="426">
        <f>IFERROR(IF(B14=Electrolysis!$E$9,0,IF(B14&lt;Electrolysis!$E$9,"",IF(B14&gt;Electrolysis!$D$26+Electrolysis!$E$9,"",-Electrolysis!$D$47*Electrolysis!$D$48*O14))),"-")</f>
        <v>0</v>
      </c>
      <c r="L14" s="426">
        <f>IF(B14=Electrolysis!$E$9,SUM(F14:K14),IF(B14&lt;Electrolysis!$E$9,"",IF(B14&gt;Electrolysis!$D$26+Electrolysis!$E$9,"",SUM(F14:K14))))</f>
        <v>14.180314685664465</v>
      </c>
      <c r="M14" s="426">
        <f>IF(B14=Electrolysis!$E$9,I14/(1+Electrolysis!$D$25)^C14,IF(B14&lt;Electrolysis!$E$9,"",IF(B14&gt;Electrolysis!$D$26+Electrolysis!$E$9,"",I14/(1+Electrolysis!$D$25)^C14)))</f>
        <v>0</v>
      </c>
      <c r="N14" s="426">
        <f>IF(B14=Electrolysis!$E$9,L14/(1+Electrolysis!$D$25)^C14,IF(B14&lt;Electrolysis!$E$9,"",IF(B14&gt;Electrolysis!$D$26+Electrolysis!$E$9,"",L14/(1+Electrolysis!$D$25)^C14)))</f>
        <v>7.8375342679010611</v>
      </c>
      <c r="O14" s="429">
        <f>IF(B14=Electrolysis!$E$9,0,IF(B14&lt;Electrolysis!$E$9,"",IF(B14&gt;Electrolysis!$D$26+Electrolysis!$E$9,"",IF(Electrolysis!$D$13="SOEC",'General values'!$C$3/('General values'!$C$3/(Electrolysis!$D$28-Electrolysis!$D$29*(E14+E13)/2/Electrolysis!$D$33)+'Prod Data'!$C$9/'Prod Data'!$C$10*(1-Electrolysis!$D$45))*Electrolysis!$D$50*8760/'General values'!$C$3,(Electrolysis!$D$28-Electrolysis!$D$29*(E14+E13)/2/Electrolysis!$D$33)*Electrolysis!$D$50*8760/'General values'!$C$3))))</f>
        <v>56.841827177332448</v>
      </c>
      <c r="P14" s="430">
        <f>IF(B14=Electrolysis!$E$9,O14/(1+Electrolysis!$D$25)^C14,IF(B14&lt;Electrolysis!$E$9,"",IF(B14&gt;Electrolysis!$D$26+Electrolysis!$E$9,"",O14/(1+Electrolysis!$D$25)^C14)))</f>
        <v>31.416775877536004</v>
      </c>
    </row>
    <row r="15" spans="1:20">
      <c r="B15" s="424">
        <v>2033</v>
      </c>
      <c r="C15" s="431">
        <f>IF(B15=Electrolysis!$E$9,B15-HOME!$A$9,IF(B15&lt;Electrolysis!$E$9,"",IF(B15&gt;Electrolysis!$D$26+Electrolysis!$E$9,"",B15-HOME!$A$9)))</f>
        <v>11</v>
      </c>
      <c r="D15" s="426" cm="1">
        <f t="array" ref="D15">IFERROR(IF(B15=Electrolysis!$E$9,"",IF(B15&lt;Electrolysis!$E$9,"",IF(B15&gt;Electrolysis!$D$26+Electrolysis!$E$9,"",IF(INDEX(Tb_Fuel[],MATCH(B15,Tb_Fuel[Year],0),HLOOKUP(Electrolysis!$E$8&amp;" - Grid",'Fuel Data'!$BB$2:$BX$3,2,FALSE)+2)=0,INDEX(Tb_Fuel[],MATCH(B15,Tb_Fuel[Year],0),HLOOKUP(Electrolysis!$E$8&amp;" - Grid",'Fuel Data'!$BB$2:$BX$3,2,FALSE)+1),INDEX(Tb_Fuel[],MATCH(B15,Tb_Fuel[Year],0),HLOOKUP(Electrolysis!$E$8&amp;" - Grid",'Fuel Data'!$BB$2:$BX$3,2,FALSE)+1))))),"")</f>
        <v>0.11</v>
      </c>
      <c r="E15" s="427">
        <f>IF(B15=Electrolysis!$E$9,0,IF(B15&lt;Electrolysis!$E$9,"",IF(B15&gt;Electrolysis!$D$26+Electrolysis!$E$9,"",IF(E14+Electrolysis!$D$50*8760&lt;Electrolysis!$D$33,E14+Electrolysis!$D$50*8760,E14+Electrolysis!$D$50*8760-Electrolysis!$D$33))))</f>
        <v>45096.480000000003</v>
      </c>
      <c r="F15" s="426">
        <f>IF(B15=Electrolysis!$E$9,Electrolysis!$D$52,IF(B15&lt;Electrolysis!$E$9,"",IF(B15&gt;Electrolysis!$D$26+Electrolysis!$E$9,"",0)))</f>
        <v>0</v>
      </c>
      <c r="G15" s="426">
        <f>IF(B15=Electrolysis!$E$9,0,IF(B15&lt;Electrolysis!$E$9,"",IF(B15&gt;Electrolysis!$D$26+Electrolysis!$E$9,"",Electrolysis!$D$52*Electrolysis!$D$24)))</f>
        <v>14.180314685664465</v>
      </c>
      <c r="H15" s="428">
        <f>IF(B15=Electrolysis!$E$9,0,IF(B15&lt;Electrolysis!$E$9,"",IF(B15&gt;Electrolysis!$D$26+Electrolysis!$E$9,"",IF(E15&lt;E14,Electrolysis!$D$23*Electrolysis!$D$32*(1+Electrolysis!$D$35)^((MIN(B15,2030)-2021)*LOG(1-Electrolysis!$D$36,2))*(Electrolysis!$J$4/1000)^((Electrolysis!$D$39-1)*EXP(-Electrolysis!$J$4/Electrolysis!$D$41)),0))))</f>
        <v>0</v>
      </c>
      <c r="I15" s="426">
        <f>IFERROR(IF(B15=Electrolysis!$E$9,0,IF(B15&lt;Electrolysis!$E$9,"",IF(B15&gt;Electrolysis!$D$26+Electrolysis!$E$9,"",IF(Electrolysis!$E$10="Grid",IF(ISBLANK(Electrolysis!$C$20),D15*Electrolysis!$D$50*8760,Electrolysis!$D$20*Electrolysis!$D$50*8760),0)))),"-")</f>
        <v>0</v>
      </c>
      <c r="J15" s="426">
        <f>IFERROR(IF(B15=Electrolysis!$E$9,0,IF(B15&lt;Electrolysis!$E$9,"",IF(B15&gt;Electrolysis!$D$26+Electrolysis!$E$9,"",Electrolysis!$D$43*Electrolysis!$D$44*O15))),"-")</f>
        <v>0</v>
      </c>
      <c r="K15" s="426">
        <f>IFERROR(IF(B15=Electrolysis!$E$9,0,IF(B15&lt;Electrolysis!$E$9,"",IF(B15&gt;Electrolysis!$D$26+Electrolysis!$E$9,"",-Electrolysis!$D$47*Electrolysis!$D$48*O15))),"-")</f>
        <v>0</v>
      </c>
      <c r="L15" s="426">
        <f>IF(B15=Electrolysis!$E$9,SUM(F15:K15),IF(B15&lt;Electrolysis!$E$9,"",IF(B15&gt;Electrolysis!$D$26+Electrolysis!$E$9,"",SUM(F15:K15))))</f>
        <v>14.180314685664465</v>
      </c>
      <c r="M15" s="426">
        <f>IF(B15=Electrolysis!$E$9,I15/(1+Electrolysis!$D$25)^C15,IF(B15&lt;Electrolysis!$E$9,"",IF(B15&gt;Electrolysis!$D$26+Electrolysis!$E$9,"",I15/(1+Electrolysis!$D$25)^C15)))</f>
        <v>0</v>
      </c>
      <c r="N15" s="426">
        <f>IF(B15=Electrolysis!$E$9,L15/(1+Electrolysis!$D$25)^C15,IF(B15&lt;Electrolysis!$E$9,"",IF(B15&gt;Electrolysis!$D$26+Electrolysis!$E$9,"",L15/(1+Electrolysis!$D$25)^C15)))</f>
        <v>7.3863317742837005</v>
      </c>
      <c r="O15" s="429">
        <f>IF(B15=Electrolysis!$E$9,0,IF(B15&lt;Electrolysis!$E$9,"",IF(B15&gt;Electrolysis!$D$26+Electrolysis!$E$9,"",IF(Electrolysis!$D$13="SOEC",'General values'!$C$3/('General values'!$C$3/(Electrolysis!$D$28-Electrolysis!$D$29*(E15+E14)/2/Electrolysis!$D$33)+'Prod Data'!$C$9/'Prod Data'!$C$10*(1-Electrolysis!$D$45))*Electrolysis!$D$50*8760/'General values'!$C$3,(Electrolysis!$D$28-Electrolysis!$D$29*(E15+E14)/2/Electrolysis!$D$33)*Electrolysis!$D$50*8760/'General values'!$C$3))))</f>
        <v>56.167516077739556</v>
      </c>
      <c r="P15" s="430">
        <f>IF(B15=Electrolysis!$E$9,O15/(1+Electrolysis!$D$25)^C15,IF(B15&lt;Electrolysis!$E$9,"",IF(B15&gt;Electrolysis!$D$26+Electrolysis!$E$9,"",O15/(1+Electrolysis!$D$25)^C15)))</f>
        <v>29.256890124378653</v>
      </c>
    </row>
    <row r="16" spans="1:20">
      <c r="B16" s="424">
        <v>2034</v>
      </c>
      <c r="C16" s="431">
        <f>IF(B16=Electrolysis!$E$9,B16-HOME!$A$9,IF(B16&lt;Electrolysis!$E$9,"",IF(B16&gt;Electrolysis!$D$26+Electrolysis!$E$9,"",B16-HOME!$A$9)))</f>
        <v>12</v>
      </c>
      <c r="D16" s="426" cm="1">
        <f t="array" ref="D16">IFERROR(IF(B16=Electrolysis!$E$9,"",IF(B16&lt;Electrolysis!$E$9,"",IF(B16&gt;Electrolysis!$D$26+Electrolysis!$E$9,"",IF(INDEX(Tb_Fuel[],MATCH(B16,Tb_Fuel[Year],0),HLOOKUP(Electrolysis!$E$8&amp;" - Grid",'Fuel Data'!$BB$2:$BX$3,2,FALSE)+2)=0,INDEX(Tb_Fuel[],MATCH(B16,Tb_Fuel[Year],0),HLOOKUP(Electrolysis!$E$8&amp;" - Grid",'Fuel Data'!$BB$2:$BX$3,2,FALSE)+1),INDEX(Tb_Fuel[],MATCH(B16,Tb_Fuel[Year],0),HLOOKUP(Electrolysis!$E$8&amp;" - Grid",'Fuel Data'!$BB$2:$BX$3,2,FALSE)+1))))),"")</f>
        <v>0.11</v>
      </c>
      <c r="E16" s="427">
        <f>IF(B16=Electrolysis!$E$9,0,IF(B16&lt;Electrolysis!$E$9,"",IF(B16&gt;Electrolysis!$D$26+Electrolysis!$E$9,"",IF(E15+Electrolysis!$D$50*8760&lt;Electrolysis!$D$33,E15+Electrolysis!$D$50*8760,E15+Electrolysis!$D$50*8760-Electrolysis!$D$33))))</f>
        <v>49196.160000000003</v>
      </c>
      <c r="F16" s="426">
        <f>IF(B16=Electrolysis!$E$9,Electrolysis!$D$52,IF(B16&lt;Electrolysis!$E$9,"",IF(B16&gt;Electrolysis!$D$26+Electrolysis!$E$9,"",0)))</f>
        <v>0</v>
      </c>
      <c r="G16" s="426">
        <f>IF(B16=Electrolysis!$E$9,0,IF(B16&lt;Electrolysis!$E$9,"",IF(B16&gt;Electrolysis!$D$26+Electrolysis!$E$9,"",Electrolysis!$D$52*Electrolysis!$D$24)))</f>
        <v>14.180314685664465</v>
      </c>
      <c r="H16" s="428">
        <f>IF(B16=Electrolysis!$E$9,0,IF(B16&lt;Electrolysis!$E$9,"",IF(B16&gt;Electrolysis!$D$26+Electrolysis!$E$9,"",IF(E16&lt;E15,Electrolysis!$D$23*Electrolysis!$D$32*(1+Electrolysis!$D$35)^((MIN(B16,2030)-2021)*LOG(1-Electrolysis!$D$36,2))*(Electrolysis!$J$4/1000)^((Electrolysis!$D$39-1)*EXP(-Electrolysis!$J$4/Electrolysis!$D$41)),0))))</f>
        <v>0</v>
      </c>
      <c r="I16" s="426">
        <f>IFERROR(IF(B16=Electrolysis!$E$9,0,IF(B16&lt;Electrolysis!$E$9,"",IF(B16&gt;Electrolysis!$D$26+Electrolysis!$E$9,"",IF(Electrolysis!$E$10="Grid",IF(ISBLANK(Electrolysis!$C$20),D16*Electrolysis!$D$50*8760,Electrolysis!$D$20*Electrolysis!$D$50*8760),0)))),"-")</f>
        <v>0</v>
      </c>
      <c r="J16" s="426">
        <f>IFERROR(IF(B16=Electrolysis!$E$9,0,IF(B16&lt;Electrolysis!$E$9,"",IF(B16&gt;Electrolysis!$D$26+Electrolysis!$E$9,"",Electrolysis!$D$43*Electrolysis!$D$44*O16))),"-")</f>
        <v>0</v>
      </c>
      <c r="K16" s="426">
        <f>IFERROR(IF(B16=Electrolysis!$E$9,0,IF(B16&lt;Electrolysis!$E$9,"",IF(B16&gt;Electrolysis!$D$26+Electrolysis!$E$9,"",-Electrolysis!$D$47*Electrolysis!$D$48*O16))),"-")</f>
        <v>0</v>
      </c>
      <c r="L16" s="426">
        <f>IF(B16=Electrolysis!$E$9,SUM(F16:K16),IF(B16&lt;Electrolysis!$E$9,"",IF(B16&gt;Electrolysis!$D$26+Electrolysis!$E$9,"",SUM(F16:K16))))</f>
        <v>14.180314685664465</v>
      </c>
      <c r="M16" s="426">
        <f>IF(B16=Electrolysis!$E$9,I16/(1+Electrolysis!$D$25)^C16,IF(B16&lt;Electrolysis!$E$9,"",IF(B16&gt;Electrolysis!$D$26+Electrolysis!$E$9,"",I16/(1+Electrolysis!$D$25)^C16)))</f>
        <v>0</v>
      </c>
      <c r="N16" s="426">
        <f>IF(B16=Electrolysis!$E$9,L16/(1+Electrolysis!$D$25)^C16,IF(B16&lt;Electrolysis!$E$9,"",IF(B16&gt;Electrolysis!$D$26+Electrolysis!$E$9,"",L16/(1+Electrolysis!$D$25)^C16)))</f>
        <v>6.96110475755584</v>
      </c>
      <c r="O16" s="429">
        <f>IF(B16=Electrolysis!$E$9,0,IF(B16&lt;Electrolysis!$E$9,"",IF(B16&gt;Electrolysis!$D$26+Electrolysis!$E$9,"",IF(Electrolysis!$D$13="SOEC",'General values'!$C$3/('General values'!$C$3/(Electrolysis!$D$28-Electrolysis!$D$29*(E16+E15)/2/Electrolysis!$D$33)+'Prod Data'!$C$9/'Prod Data'!$C$10*(1-Electrolysis!$D$45))*Electrolysis!$D$50*8760/'General values'!$C$3,(Electrolysis!$D$28-Electrolysis!$D$29*(E16+E15)/2/Electrolysis!$D$33)*Electrolysis!$D$50*8760/'General values'!$C$3))))</f>
        <v>55.493204978146672</v>
      </c>
      <c r="P16" s="430">
        <f>IF(B16=Electrolysis!$E$9,O16/(1+Electrolysis!$D$25)^C16,IF(B16&lt;Electrolysis!$E$9,"",IF(B16&gt;Electrolysis!$D$26+Electrolysis!$E$9,"",O16/(1+Electrolysis!$D$25)^C16)))</f>
        <v>27.241568452350403</v>
      </c>
      <c r="S16" s="114"/>
    </row>
    <row r="17" spans="2:19">
      <c r="B17" s="424">
        <v>2035</v>
      </c>
      <c r="C17" s="431">
        <f>IF(B17=Electrolysis!$E$9,B17-HOME!$A$9,IF(B17&lt;Electrolysis!$E$9,"",IF(B17&gt;Electrolysis!$D$26+Electrolysis!$E$9,"",B17-HOME!$A$9)))</f>
        <v>13</v>
      </c>
      <c r="D17" s="426" cm="1">
        <f t="array" ref="D17">IFERROR(IF(B17=Electrolysis!$E$9,"",IF(B17&lt;Electrolysis!$E$9,"",IF(B17&gt;Electrolysis!$D$26+Electrolysis!$E$9,"",IF(INDEX(Tb_Fuel[],MATCH(B17,Tb_Fuel[Year],0),HLOOKUP(Electrolysis!$E$8&amp;" - Grid",'Fuel Data'!$BB$2:$BX$3,2,FALSE)+2)=0,INDEX(Tb_Fuel[],MATCH(B17,Tb_Fuel[Year],0),HLOOKUP(Electrolysis!$E$8&amp;" - Grid",'Fuel Data'!$BB$2:$BX$3,2,FALSE)+1),INDEX(Tb_Fuel[],MATCH(B17,Tb_Fuel[Year],0),HLOOKUP(Electrolysis!$E$8&amp;" - Grid",'Fuel Data'!$BB$2:$BX$3,2,FALSE)+1))))),"")</f>
        <v>0.11</v>
      </c>
      <c r="E17" s="427">
        <f>IF(B17=Electrolysis!$E$9,0,IF(B17&lt;Electrolysis!$E$9,"",IF(B17&gt;Electrolysis!$D$26+Electrolysis!$E$9,"",IF(E16+Electrolysis!$D$50*8760&lt;Electrolysis!$D$33,E16+Electrolysis!$D$50*8760,E16+Electrolysis!$D$50*8760-Electrolysis!$D$33))))</f>
        <v>53295.840000000004</v>
      </c>
      <c r="F17" s="426">
        <f>IF(B17=Electrolysis!$E$9,Electrolysis!$D$52,IF(B17&lt;Electrolysis!$E$9,"",IF(B17&gt;Electrolysis!$D$26+Electrolysis!$E$9,"",0)))</f>
        <v>0</v>
      </c>
      <c r="G17" s="426">
        <f>IF(B17=Electrolysis!$E$9,0,IF(B17&lt;Electrolysis!$E$9,"",IF(B17&gt;Electrolysis!$D$26+Electrolysis!$E$9,"",Electrolysis!$D$52*Electrolysis!$D$24)))</f>
        <v>14.180314685664465</v>
      </c>
      <c r="H17" s="428">
        <f>IF(B17=Electrolysis!$E$9,0,IF(B17&lt;Electrolysis!$E$9,"",IF(B17&gt;Electrolysis!$D$26+Electrolysis!$E$9,"",IF(E17&lt;E16,Electrolysis!$D$23*Electrolysis!$D$32*(1+Electrolysis!$D$35)^((MIN(B17,2030)-2021)*LOG(1-Electrolysis!$D$36,2))*(Electrolysis!$J$4/1000)^((Electrolysis!$D$39-1)*EXP(-Electrolysis!$J$4/Electrolysis!$D$41)),0))))</f>
        <v>0</v>
      </c>
      <c r="I17" s="426">
        <f>IFERROR(IF(B17=Electrolysis!$E$9,0,IF(B17&lt;Electrolysis!$E$9,"",IF(B17&gt;Electrolysis!$D$26+Electrolysis!$E$9,"",IF(Electrolysis!$E$10="Grid",IF(ISBLANK(Electrolysis!$C$20),D17*Electrolysis!$D$50*8760,Electrolysis!$D$20*Electrolysis!$D$50*8760),0)))),"-")</f>
        <v>0</v>
      </c>
      <c r="J17" s="426">
        <f>IFERROR(IF(B17=Electrolysis!$E$9,0,IF(B17&lt;Electrolysis!$E$9,"",IF(B17&gt;Electrolysis!$D$26+Electrolysis!$E$9,"",Electrolysis!$D$43*Electrolysis!$D$44*O17))),"-")</f>
        <v>0</v>
      </c>
      <c r="K17" s="426">
        <f>IFERROR(IF(B17=Electrolysis!$E$9,0,IF(B17&lt;Electrolysis!$E$9,"",IF(B17&gt;Electrolysis!$D$26+Electrolysis!$E$9,"",-Electrolysis!$D$47*Electrolysis!$D$48*O17))),"-")</f>
        <v>0</v>
      </c>
      <c r="L17" s="426">
        <f>IF(B17=Electrolysis!$E$9,SUM(F17:K17),IF(B17&lt;Electrolysis!$E$9,"",IF(B17&gt;Electrolysis!$D$26+Electrolysis!$E$9,"",SUM(F17:K17))))</f>
        <v>14.180314685664465</v>
      </c>
      <c r="M17" s="426">
        <f>IF(B17=Electrolysis!$E$9,I17/(1+Electrolysis!$D$25)^C17,IF(B17&lt;Electrolysis!$E$9,"",IF(B17&gt;Electrolysis!$D$26+Electrolysis!$E$9,"",I17/(1+Electrolysis!$D$25)^C17)))</f>
        <v>0</v>
      </c>
      <c r="N17" s="426">
        <f>IF(B17=Electrolysis!$E$9,L17/(1+Electrolysis!$D$25)^C17,IF(B17&lt;Electrolysis!$E$9,"",IF(B17&gt;Electrolysis!$D$26+Electrolysis!$E$9,"",L17/(1+Electrolysis!$D$25)^C17)))</f>
        <v>6.5603578239437708</v>
      </c>
      <c r="O17" s="429">
        <f>IF(B17=Electrolysis!$E$9,0,IF(B17&lt;Electrolysis!$E$9,"",IF(B17&gt;Electrolysis!$D$26+Electrolysis!$E$9,"",IF(Electrolysis!$D$13="SOEC",'General values'!$C$3/('General values'!$C$3/(Electrolysis!$D$28-Electrolysis!$D$29*(E17+E16)/2/Electrolysis!$D$33)+'Prod Data'!$C$9/'Prod Data'!$C$10*(1-Electrolysis!$D$45))*Electrolysis!$D$50*8760/'General values'!$C$3,(Electrolysis!$D$28-Electrolysis!$D$29*(E17+E16)/2/Electrolysis!$D$33)*Electrolysis!$D$50*8760/'General values'!$C$3))))</f>
        <v>54.818893878553794</v>
      </c>
      <c r="P17" s="430">
        <f>IF(B17=Electrolysis!$E$9,O17/(1+Electrolysis!$D$25)^C17,IF(B17&lt;Electrolysis!$E$9,"",IF(B17&gt;Electrolysis!$D$26+Electrolysis!$E$9,"",O17/(1+Electrolysis!$D$25)^C17)))</f>
        <v>25.361324295551903</v>
      </c>
      <c r="S17" s="115"/>
    </row>
    <row r="18" spans="2:19">
      <c r="B18" s="424">
        <v>2036</v>
      </c>
      <c r="C18" s="431">
        <f>IF(B18=Electrolysis!$E$9,B18-HOME!$A$9,IF(B18&lt;Electrolysis!$E$9,"",IF(B18&gt;Electrolysis!$D$26+Electrolysis!$E$9,"",B18-HOME!$A$9)))</f>
        <v>14</v>
      </c>
      <c r="D18" s="426" cm="1">
        <f t="array" ref="D18">IFERROR(IF(B18=Electrolysis!$E$9,"",IF(B18&lt;Electrolysis!$E$9,"",IF(B18&gt;Electrolysis!$D$26+Electrolysis!$E$9,"",IF(INDEX(Tb_Fuel[],MATCH(B18,Tb_Fuel[Year],0),HLOOKUP(Electrolysis!$E$8&amp;" - Grid",'Fuel Data'!$BB$2:$BX$3,2,FALSE)+2)=0,INDEX(Tb_Fuel[],MATCH(B18,Tb_Fuel[Year],0),HLOOKUP(Electrolysis!$E$8&amp;" - Grid",'Fuel Data'!$BB$2:$BX$3,2,FALSE)+1),INDEX(Tb_Fuel[],MATCH(B18,Tb_Fuel[Year],0),HLOOKUP(Electrolysis!$E$8&amp;" - Grid",'Fuel Data'!$BB$2:$BX$3,2,FALSE)+1))))),"")</f>
        <v>0.11</v>
      </c>
      <c r="E18" s="427">
        <f>IF(B18=Electrolysis!$E$9,0,IF(B18&lt;Electrolysis!$E$9,"",IF(B18&gt;Electrolysis!$D$26+Electrolysis!$E$9,"",IF(E17+Electrolysis!$D$50*8760&lt;Electrolysis!$D$33,E17+Electrolysis!$D$50*8760,E17+Electrolysis!$D$50*8760-Electrolysis!$D$33))))</f>
        <v>57395.520000000004</v>
      </c>
      <c r="F18" s="426">
        <f>IF(B18=Electrolysis!$E$9,Electrolysis!$D$52,IF(B18&lt;Electrolysis!$E$9,"",IF(B18&gt;Electrolysis!$D$26+Electrolysis!$E$9,"",0)))</f>
        <v>0</v>
      </c>
      <c r="G18" s="426">
        <f>IF(B18=Electrolysis!$E$9,0,IF(B18&lt;Electrolysis!$E$9,"",IF(B18&gt;Electrolysis!$D$26+Electrolysis!$E$9,"",Electrolysis!$D$52*Electrolysis!$D$24)))</f>
        <v>14.180314685664465</v>
      </c>
      <c r="H18" s="428">
        <f>IF(B18=Electrolysis!$E$9,0,IF(B18&lt;Electrolysis!$E$9,"",IF(B18&gt;Electrolysis!$D$26+Electrolysis!$E$9,"",IF(E18&lt;E17,Electrolysis!$D$23*Electrolysis!$D$32*(1+Electrolysis!$D$35)^((MIN(B18,2030)-2021)*LOG(1-Electrolysis!$D$36,2))*(Electrolysis!$J$4/1000)^((Electrolysis!$D$39-1)*EXP(-Electrolysis!$J$4/Electrolysis!$D$41)),0))))</f>
        <v>0</v>
      </c>
      <c r="I18" s="426">
        <f>IFERROR(IF(B18=Electrolysis!$E$9,0,IF(B18&lt;Electrolysis!$E$9,"",IF(B18&gt;Electrolysis!$D$26+Electrolysis!$E$9,"",IF(Electrolysis!$E$10="Grid",IF(ISBLANK(Electrolysis!$C$20),D18*Electrolysis!$D$50*8760,Electrolysis!$D$20*Electrolysis!$D$50*8760),0)))),"-")</f>
        <v>0</v>
      </c>
      <c r="J18" s="426">
        <f>IFERROR(IF(B18=Electrolysis!$E$9,0,IF(B18&lt;Electrolysis!$E$9,"",IF(B18&gt;Electrolysis!$D$26+Electrolysis!$E$9,"",Electrolysis!$D$43*Electrolysis!$D$44*O18))),"-")</f>
        <v>0</v>
      </c>
      <c r="K18" s="426">
        <f>IFERROR(IF(B18=Electrolysis!$E$9,0,IF(B18&lt;Electrolysis!$E$9,"",IF(B18&gt;Electrolysis!$D$26+Electrolysis!$E$9,"",-Electrolysis!$D$47*Electrolysis!$D$48*O18))),"-")</f>
        <v>0</v>
      </c>
      <c r="L18" s="426">
        <f>IF(B18=Electrolysis!$E$9,SUM(F18:K18),IF(B18&lt;Electrolysis!$E$9,"",IF(B18&gt;Electrolysis!$D$26+Electrolysis!$E$9,"",SUM(F18:K18))))</f>
        <v>14.180314685664465</v>
      </c>
      <c r="M18" s="426">
        <f>IF(B18=Electrolysis!$E$9,I18/(1+Electrolysis!$D$25)^C18,IF(B18&lt;Electrolysis!$E$9,"",IF(B18&gt;Electrolysis!$D$26+Electrolysis!$E$9,"",I18/(1+Electrolysis!$D$25)^C18)))</f>
        <v>0</v>
      </c>
      <c r="N18" s="426">
        <f>IF(B18=Electrolysis!$E$9,L18/(1+Electrolysis!$D$25)^C18,IF(B18&lt;Electrolysis!$E$9,"",IF(B18&gt;Electrolysis!$D$26+Electrolysis!$E$9,"",L18/(1+Electrolysis!$D$25)^C18)))</f>
        <v>6.1826816686625614</v>
      </c>
      <c r="O18" s="429">
        <f>IF(B18=Electrolysis!$E$9,0,IF(B18&lt;Electrolysis!$E$9,"",IF(B18&gt;Electrolysis!$D$26+Electrolysis!$E$9,"",IF(Electrolysis!$D$13="SOEC",'General values'!$C$3/('General values'!$C$3/(Electrolysis!$D$28-Electrolysis!$D$29*(E18+E17)/2/Electrolysis!$D$33)+'Prod Data'!$C$9/'Prod Data'!$C$10*(1-Electrolysis!$D$45))*Electrolysis!$D$50*8760/'General values'!$C$3,(Electrolysis!$D$28-Electrolysis!$D$29*(E18+E17)/2/Electrolysis!$D$33)*Electrolysis!$D$50*8760/'General values'!$C$3))))</f>
        <v>54.144582778960896</v>
      </c>
      <c r="P18" s="430">
        <f>IF(B18=Electrolysis!$E$9,O18/(1+Electrolysis!$D$25)^C18,IF(B18&lt;Electrolysis!$E$9,"",IF(B18&gt;Electrolysis!$D$26+Electrolysis!$E$9,"",O18/(1+Electrolysis!$D$25)^C18)))</f>
        <v>23.607284240545606</v>
      </c>
    </row>
    <row r="19" spans="2:19">
      <c r="B19" s="424">
        <v>2037</v>
      </c>
      <c r="C19" s="431">
        <f>IF(B19=Electrolysis!$E$9,B19-HOME!$A$9,IF(B19&lt;Electrolysis!$E$9,"",IF(B19&gt;Electrolysis!$D$26+Electrolysis!$E$9,"",B19-HOME!$A$9)))</f>
        <v>15</v>
      </c>
      <c r="D19" s="426" cm="1">
        <f t="array" ref="D19">IFERROR(IF(B19=Electrolysis!$E$9,"",IF(B19&lt;Electrolysis!$E$9,"",IF(B19&gt;Electrolysis!$D$26+Electrolysis!$E$9,"",IF(INDEX(Tb_Fuel[],MATCH(B19,Tb_Fuel[Year],0),HLOOKUP(Electrolysis!$E$8&amp;" - Grid",'Fuel Data'!$BB$2:$BX$3,2,FALSE)+2)=0,INDEX(Tb_Fuel[],MATCH(B19,Tb_Fuel[Year],0),HLOOKUP(Electrolysis!$E$8&amp;" - Grid",'Fuel Data'!$BB$2:$BX$3,2,FALSE)+1),INDEX(Tb_Fuel[],MATCH(B19,Tb_Fuel[Year],0),HLOOKUP(Electrolysis!$E$8&amp;" - Grid",'Fuel Data'!$BB$2:$BX$3,2,FALSE)+1))))),"")</f>
        <v>0.11</v>
      </c>
      <c r="E19" s="427">
        <f>IF(B19=Electrolysis!$E$9,0,IF(B19&lt;Electrolysis!$E$9,"",IF(B19&gt;Electrolysis!$D$26+Electrolysis!$E$9,"",IF(E18+Electrolysis!$D$50*8760&lt;Electrolysis!$D$33,E18+Electrolysis!$D$50*8760,E18+Electrolysis!$D$50*8760-Electrolysis!$D$33))))</f>
        <v>61495.200000000004</v>
      </c>
      <c r="F19" s="426">
        <f>IF(B19=Electrolysis!$E$9,Electrolysis!$D$52,IF(B19&lt;Electrolysis!$E$9,"",IF(B19&gt;Electrolysis!$D$26+Electrolysis!$E$9,"",0)))</f>
        <v>0</v>
      </c>
      <c r="G19" s="426">
        <f>IF(B19=Electrolysis!$E$9,0,IF(B19&lt;Electrolysis!$E$9,"",IF(B19&gt;Electrolysis!$D$26+Electrolysis!$E$9,"",Electrolysis!$D$52*Electrolysis!$D$24)))</f>
        <v>14.180314685664465</v>
      </c>
      <c r="H19" s="428">
        <f>IF(B19=Electrolysis!$E$9,0,IF(B19&lt;Electrolysis!$E$9,"",IF(B19&gt;Electrolysis!$D$26+Electrolysis!$E$9,"",IF(E19&lt;E18,Electrolysis!$D$23*Electrolysis!$D$32*(1+Electrolysis!$D$35)^((MIN(B19,2030)-2021)*LOG(1-Electrolysis!$D$36,2))*(Electrolysis!$J$4/1000)^((Electrolysis!$D$39-1)*EXP(-Electrolysis!$J$4/Electrolysis!$D$41)),0))))</f>
        <v>0</v>
      </c>
      <c r="I19" s="426">
        <f>IFERROR(IF(B19=Electrolysis!$E$9,0,IF(B19&lt;Electrolysis!$E$9,"",IF(B19&gt;Electrolysis!$D$26+Electrolysis!$E$9,"",IF(Electrolysis!$E$10="Grid",IF(ISBLANK(Electrolysis!$C$20),D19*Electrolysis!$D$50*8760,Electrolysis!$D$20*Electrolysis!$D$50*8760),0)))),"-")</f>
        <v>0</v>
      </c>
      <c r="J19" s="426">
        <f>IFERROR(IF(B19=Electrolysis!$E$9,0,IF(B19&lt;Electrolysis!$E$9,"",IF(B19&gt;Electrolysis!$D$26+Electrolysis!$E$9,"",Electrolysis!$D$43*Electrolysis!$D$44*O19))),"-")</f>
        <v>0</v>
      </c>
      <c r="K19" s="426">
        <f>IFERROR(IF(B19=Electrolysis!$E$9,0,IF(B19&lt;Electrolysis!$E$9,"",IF(B19&gt;Electrolysis!$D$26+Electrolysis!$E$9,"",-Electrolysis!$D$47*Electrolysis!$D$48*O19))),"-")</f>
        <v>0</v>
      </c>
      <c r="L19" s="426">
        <f>IF(B19=Electrolysis!$E$9,SUM(F19:K19),IF(B19&lt;Electrolysis!$E$9,"",IF(B19&gt;Electrolysis!$D$26+Electrolysis!$E$9,"",SUM(F19:K19))))</f>
        <v>14.180314685664465</v>
      </c>
      <c r="M19" s="426">
        <f>IF(B19=Electrolysis!$E$9,I19/(1+Electrolysis!$D$25)^C19,IF(B19&lt;Electrolysis!$E$9,"",IF(B19&gt;Electrolysis!$D$26+Electrolysis!$E$9,"",I19/(1+Electrolysis!$D$25)^C19)))</f>
        <v>0</v>
      </c>
      <c r="N19" s="426">
        <f>IF(B19=Electrolysis!$E$9,L19/(1+Electrolysis!$D$25)^C19,IF(B19&lt;Electrolysis!$E$9,"",IF(B19&gt;Electrolysis!$D$26+Electrolysis!$E$9,"",L19/(1+Electrolysis!$D$25)^C19)))</f>
        <v>5.8267481198208078</v>
      </c>
      <c r="O19" s="429">
        <f>IF(B19=Electrolysis!$E$9,0,IF(B19&lt;Electrolysis!$E$9,"",IF(B19&gt;Electrolysis!$D$26+Electrolysis!$E$9,"",IF(Electrolysis!$D$13="SOEC",'General values'!$C$3/('General values'!$C$3/(Electrolysis!$D$28-Electrolysis!$D$29*(E19+E18)/2/Electrolysis!$D$33)+'Prod Data'!$C$9/'Prod Data'!$C$10*(1-Electrolysis!$D$45))*Electrolysis!$D$50*8760/'General values'!$C$3,(Electrolysis!$D$28-Electrolysis!$D$29*(E19+E18)/2/Electrolysis!$D$33)*Electrolysis!$D$50*8760/'General values'!$C$3))))</f>
        <v>53.470271679368011</v>
      </c>
      <c r="P19" s="430">
        <f>IF(B19=Electrolysis!$E$9,O19/(1+Electrolysis!$D$25)^C19,IF(B19&lt;Electrolysis!$E$9,"",IF(B19&gt;Electrolysis!$D$26+Electrolysis!$E$9,"",O19/(1+Electrolysis!$D$25)^C19)))</f>
        <v>21.971148869427665</v>
      </c>
    </row>
    <row r="20" spans="2:19">
      <c r="B20" s="424">
        <v>2038</v>
      </c>
      <c r="C20" s="431">
        <f>IF(B20=Electrolysis!$E$9,B20-HOME!$A$9,IF(B20&lt;Electrolysis!$E$9,"",IF(B20&gt;Electrolysis!$D$26+Electrolysis!$E$9,"",B20-HOME!$A$9)))</f>
        <v>16</v>
      </c>
      <c r="D20" s="426" cm="1">
        <f t="array" ref="D20">IFERROR(IF(B20=Electrolysis!$E$9,"",IF(B20&lt;Electrolysis!$E$9,"",IF(B20&gt;Electrolysis!$D$26+Electrolysis!$E$9,"",IF(INDEX(Tb_Fuel[],MATCH(B20,Tb_Fuel[Year],0),HLOOKUP(Electrolysis!$E$8&amp;" - Grid",'Fuel Data'!$BB$2:$BX$3,2,FALSE)+2)=0,INDEX(Tb_Fuel[],MATCH(B20,Tb_Fuel[Year],0),HLOOKUP(Electrolysis!$E$8&amp;" - Grid",'Fuel Data'!$BB$2:$BX$3,2,FALSE)+1),INDEX(Tb_Fuel[],MATCH(B20,Tb_Fuel[Year],0),HLOOKUP(Electrolysis!$E$8&amp;" - Grid",'Fuel Data'!$BB$2:$BX$3,2,FALSE)+1))))),"")</f>
        <v>0.11</v>
      </c>
      <c r="E20" s="427">
        <f>IF(B20=Electrolysis!$E$9,0,IF(B20&lt;Electrolysis!$E$9,"",IF(B20&gt;Electrolysis!$D$26+Electrolysis!$E$9,"",IF(E19+Electrolysis!$D$50*8760&lt;Electrolysis!$D$33,E19+Electrolysis!$D$50*8760,E19+Electrolysis!$D$50*8760-Electrolysis!$D$33))))</f>
        <v>65594.880000000005</v>
      </c>
      <c r="F20" s="426">
        <f>IF(B20=Electrolysis!$E$9,Electrolysis!$D$52,IF(B20&lt;Electrolysis!$E$9,"",IF(B20&gt;Electrolysis!$D$26+Electrolysis!$E$9,"",0)))</f>
        <v>0</v>
      </c>
      <c r="G20" s="426">
        <f>IF(B20=Electrolysis!$E$9,0,IF(B20&lt;Electrolysis!$E$9,"",IF(B20&gt;Electrolysis!$D$26+Electrolysis!$E$9,"",Electrolysis!$D$52*Electrolysis!$D$24)))</f>
        <v>14.180314685664465</v>
      </c>
      <c r="H20" s="428">
        <f>IF(B20=Electrolysis!$E$9,0,IF(B20&lt;Electrolysis!$E$9,"",IF(B20&gt;Electrolysis!$D$26+Electrolysis!$E$9,"",IF(E20&lt;E19,Electrolysis!$D$23*Electrolysis!$D$32*(1+Electrolysis!$D$35)^((MIN(B20,2030)-2021)*LOG(1-Electrolysis!$D$36,2))*(Electrolysis!$J$4/1000)^((Electrolysis!$D$39-1)*EXP(-Electrolysis!$J$4/Electrolysis!$D$41)),0))))</f>
        <v>0</v>
      </c>
      <c r="I20" s="426">
        <f>IFERROR(IF(B20=Electrolysis!$E$9,0,IF(B20&lt;Electrolysis!$E$9,"",IF(B20&gt;Electrolysis!$D$26+Electrolysis!$E$9,"",IF(Electrolysis!$E$10="Grid",IF(ISBLANK(Electrolysis!$C$20),D20*Electrolysis!$D$50*8760,Electrolysis!$D$20*Electrolysis!$D$50*8760),0)))),"-")</f>
        <v>0</v>
      </c>
      <c r="J20" s="426">
        <f>IFERROR(IF(B20=Electrolysis!$E$9,0,IF(B20&lt;Electrolysis!$E$9,"",IF(B20&gt;Electrolysis!$D$26+Electrolysis!$E$9,"",Electrolysis!$D$43*Electrolysis!$D$44*O20))),"-")</f>
        <v>0</v>
      </c>
      <c r="K20" s="426">
        <f>IFERROR(IF(B20=Electrolysis!$E$9,0,IF(B20&lt;Electrolysis!$E$9,"",IF(B20&gt;Electrolysis!$D$26+Electrolysis!$E$9,"",-Electrolysis!$D$47*Electrolysis!$D$48*O20))),"-")</f>
        <v>0</v>
      </c>
      <c r="L20" s="426">
        <f>IF(B20=Electrolysis!$E$9,SUM(F20:K20),IF(B20&lt;Electrolysis!$E$9,"",IF(B20&gt;Electrolysis!$D$26+Electrolysis!$E$9,"",SUM(F20:K20))))</f>
        <v>14.180314685664465</v>
      </c>
      <c r="M20" s="426">
        <f>IF(B20=Electrolysis!$E$9,I20/(1+Electrolysis!$D$25)^C20,IF(B20&lt;Electrolysis!$E$9,"",IF(B20&gt;Electrolysis!$D$26+Electrolysis!$E$9,"",I20/(1+Electrolysis!$D$25)^C20)))</f>
        <v>0</v>
      </c>
      <c r="N20" s="426">
        <f>IF(B20=Electrolysis!$E$9,L20/(1+Electrolysis!$D$25)^C20,IF(B20&lt;Electrolysis!$E$9,"",IF(B20&gt;Electrolysis!$D$26+Electrolysis!$E$9,"",L20/(1+Electrolysis!$D$25)^C20)))</f>
        <v>5.4913054676450113</v>
      </c>
      <c r="O20" s="429">
        <f>IF(B20=Electrolysis!$E$9,0,IF(B20&lt;Electrolysis!$E$9,"",IF(B20&gt;Electrolysis!$D$26+Electrolysis!$E$9,"",IF(Electrolysis!$D$13="SOEC",'General values'!$C$3/('General values'!$C$3/(Electrolysis!$D$28-Electrolysis!$D$29*(E20+E19)/2/Electrolysis!$D$33)+'Prod Data'!$C$9/'Prod Data'!$C$10*(1-Electrolysis!$D$45))*Electrolysis!$D$50*8760/'General values'!$C$3,(Electrolysis!$D$28-Electrolysis!$D$29*(E20+E19)/2/Electrolysis!$D$33)*Electrolysis!$D$50*8760/'General values'!$C$3))))</f>
        <v>52.795960579775127</v>
      </c>
      <c r="P20" s="430">
        <f>IF(B20=Electrolysis!$E$9,O20/(1+Electrolysis!$D$25)^C20,IF(B20&lt;Electrolysis!$E$9,"",IF(B20&gt;Electrolysis!$D$26+Electrolysis!$E$9,"",O20/(1+Electrolysis!$D$25)^C20)))</f>
        <v>20.445156079249912</v>
      </c>
    </row>
    <row r="21" spans="2:19">
      <c r="B21" s="424">
        <v>2039</v>
      </c>
      <c r="C21" s="431">
        <f>IF(B21=Electrolysis!$E$9,B21-HOME!$A$9,IF(B21&lt;Electrolysis!$E$9,"",IF(B21&gt;Electrolysis!$D$26+Electrolysis!$E$9,"",B21-HOME!$A$9)))</f>
        <v>17</v>
      </c>
      <c r="D21" s="426" cm="1">
        <f t="array" ref="D21">IFERROR(IF(B21=Electrolysis!$E$9,"",IF(B21&lt;Electrolysis!$E$9,"",IF(B21&gt;Electrolysis!$D$26+Electrolysis!$E$9,"",IF(INDEX(Tb_Fuel[],MATCH(B21,Tb_Fuel[Year],0),HLOOKUP(Electrolysis!$E$8&amp;" - Grid",'Fuel Data'!$BB$2:$BX$3,2,FALSE)+2)=0,INDEX(Tb_Fuel[],MATCH(B21,Tb_Fuel[Year],0),HLOOKUP(Electrolysis!$E$8&amp;" - Grid",'Fuel Data'!$BB$2:$BX$3,2,FALSE)+1),INDEX(Tb_Fuel[],MATCH(B21,Tb_Fuel[Year],0),HLOOKUP(Electrolysis!$E$8&amp;" - Grid",'Fuel Data'!$BB$2:$BX$3,2,FALSE)+1))))),"")</f>
        <v>0.11</v>
      </c>
      <c r="E21" s="427">
        <f>IF(B21=Electrolysis!$E$9,0,IF(B21&lt;Electrolysis!$E$9,"",IF(B21&gt;Electrolysis!$D$26+Electrolysis!$E$9,"",IF(E20+Electrolysis!$D$50*8760&lt;Electrolysis!$D$33,E20+Electrolysis!$D$50*8760,E20+Electrolysis!$D$50*8760-Electrolysis!$D$33))))</f>
        <v>69694.559999999998</v>
      </c>
      <c r="F21" s="426">
        <f>IF(B21=Electrolysis!$E$9,Electrolysis!$D$52,IF(B21&lt;Electrolysis!$E$9,"",IF(B21&gt;Electrolysis!$D$26+Electrolysis!$E$9,"",0)))</f>
        <v>0</v>
      </c>
      <c r="G21" s="426">
        <f>IF(B21=Electrolysis!$E$9,0,IF(B21&lt;Electrolysis!$E$9,"",IF(B21&gt;Electrolysis!$D$26+Electrolysis!$E$9,"",Electrolysis!$D$52*Electrolysis!$D$24)))</f>
        <v>14.180314685664465</v>
      </c>
      <c r="H21" s="428">
        <f>IF(B21=Electrolysis!$E$9,0,IF(B21&lt;Electrolysis!$E$9,"",IF(B21&gt;Electrolysis!$D$26+Electrolysis!$E$9,"",IF(E21&lt;E20,Electrolysis!$D$23*Electrolysis!$D$32*(1+Electrolysis!$D$35)^((MIN(B21,2030)-2021)*LOG(1-Electrolysis!$D$36,2))*(Electrolysis!$J$4/1000)^((Electrolysis!$D$39-1)*EXP(-Electrolysis!$J$4/Electrolysis!$D$41)),0))))</f>
        <v>0</v>
      </c>
      <c r="I21" s="426">
        <f>IFERROR(IF(B21=Electrolysis!$E$9,0,IF(B21&lt;Electrolysis!$E$9,"",IF(B21&gt;Electrolysis!$D$26+Electrolysis!$E$9,"",IF(Electrolysis!$E$10="Grid",IF(ISBLANK(Electrolysis!$C$20),D21*Electrolysis!$D$50*8760,Electrolysis!$D$20*Electrolysis!$D$50*8760),0)))),"-")</f>
        <v>0</v>
      </c>
      <c r="J21" s="426">
        <f>IFERROR(IF(B21=Electrolysis!$E$9,0,IF(B21&lt;Electrolysis!$E$9,"",IF(B21&gt;Electrolysis!$D$26+Electrolysis!$E$9,"",Electrolysis!$D$43*Electrolysis!$D$44*O21))),"-")</f>
        <v>0</v>
      </c>
      <c r="K21" s="426">
        <f>IFERROR(IF(B21=Electrolysis!$E$9,0,IF(B21&lt;Electrolysis!$E$9,"",IF(B21&gt;Electrolysis!$D$26+Electrolysis!$E$9,"",-Electrolysis!$D$47*Electrolysis!$D$48*O21))),"-")</f>
        <v>0</v>
      </c>
      <c r="L21" s="426">
        <f>IF(B21=Electrolysis!$E$9,SUM(F21:K21),IF(B21&lt;Electrolysis!$E$9,"",IF(B21&gt;Electrolysis!$D$26+Electrolysis!$E$9,"",SUM(F21:K21))))</f>
        <v>14.180314685664465</v>
      </c>
      <c r="M21" s="426">
        <f>IF(B21=Electrolysis!$E$9,I21/(1+Electrolysis!$D$25)^C21,IF(B21&lt;Electrolysis!$E$9,"",IF(B21&gt;Electrolysis!$D$26+Electrolysis!$E$9,"",I21/(1+Electrolysis!$D$25)^C21)))</f>
        <v>0</v>
      </c>
      <c r="N21" s="426">
        <f>IF(B21=Electrolysis!$E$9,L21/(1+Electrolysis!$D$25)^C21,IF(B21&lt;Electrolysis!$E$9,"",IF(B21&gt;Electrolysis!$D$26+Electrolysis!$E$9,"",L21/(1+Electrolysis!$D$25)^C21)))</f>
        <v>5.1751740625979474</v>
      </c>
      <c r="O21" s="429">
        <f>IF(B21=Electrolysis!$E$9,0,IF(B21&lt;Electrolysis!$E$9,"",IF(B21&gt;Electrolysis!$D$26+Electrolysis!$E$9,"",IF(Electrolysis!$D$13="SOEC",'General values'!$C$3/('General values'!$C$3/(Electrolysis!$D$28-Electrolysis!$D$29*(E21+E20)/2/Electrolysis!$D$33)+'Prod Data'!$C$9/'Prod Data'!$C$10*(1-Electrolysis!$D$45))*Electrolysis!$D$50*8760/'General values'!$C$3,(Electrolysis!$D$28-Electrolysis!$D$29*(E21+E20)/2/Electrolysis!$D$33)*Electrolysis!$D$50*8760/'General values'!$C$3))))</f>
        <v>52.121649480182235</v>
      </c>
      <c r="P21" s="430">
        <f>IF(B21=Electrolysis!$E$9,O21/(1+Electrolysis!$D$25)^C21,IF(B21&lt;Electrolysis!$E$9,"",IF(B21&gt;Electrolysis!$D$26+Electrolysis!$E$9,"",O21/(1+Electrolysis!$D$25)^C21)))</f>
        <v>19.022046722443481</v>
      </c>
    </row>
    <row r="22" spans="2:19">
      <c r="B22" s="424">
        <v>2040</v>
      </c>
      <c r="C22" s="431">
        <f>IF(B22=Electrolysis!$E$9,B22-HOME!$A$9,IF(B22&lt;Electrolysis!$E$9,"",IF(B22&gt;Electrolysis!$D$26+Electrolysis!$E$9,"",B22-HOME!$A$9)))</f>
        <v>18</v>
      </c>
      <c r="D22" s="426" cm="1">
        <f t="array" ref="D22">IFERROR(IF(B22=Electrolysis!$E$9,"",IF(B22&lt;Electrolysis!$E$9,"",IF(B22&gt;Electrolysis!$D$26+Electrolysis!$E$9,"",IF(INDEX(Tb_Fuel[],MATCH(B22,Tb_Fuel[Year],0),HLOOKUP(Electrolysis!$E$8&amp;" - Grid",'Fuel Data'!$BB$2:$BX$3,2,FALSE)+2)=0,INDEX(Tb_Fuel[],MATCH(B22,Tb_Fuel[Year],0),HLOOKUP(Electrolysis!$E$8&amp;" - Grid",'Fuel Data'!$BB$2:$BX$3,2,FALSE)+1),INDEX(Tb_Fuel[],MATCH(B22,Tb_Fuel[Year],0),HLOOKUP(Electrolysis!$E$8&amp;" - Grid",'Fuel Data'!$BB$2:$BX$3,2,FALSE)+1))))),"")</f>
        <v>0.11</v>
      </c>
      <c r="E22" s="427">
        <f>IF(B22=Electrolysis!$E$9,0,IF(B22&lt;Electrolysis!$E$9,"",IF(B22&gt;Electrolysis!$D$26+Electrolysis!$E$9,"",IF(E21+Electrolysis!$D$50*8760&lt;Electrolysis!$D$33,E21+Electrolysis!$D$50*8760,E21+Electrolysis!$D$50*8760-Electrolysis!$D$33))))</f>
        <v>73794.239999999991</v>
      </c>
      <c r="F22" s="426">
        <f>IF(B22=Electrolysis!$E$9,Electrolysis!$D$52,IF(B22&lt;Electrolysis!$E$9,"",IF(B22&gt;Electrolysis!$D$26+Electrolysis!$E$9,"",0)))</f>
        <v>0</v>
      </c>
      <c r="G22" s="426">
        <f>IF(B22=Electrolysis!$E$9,0,IF(B22&lt;Electrolysis!$E$9,"",IF(B22&gt;Electrolysis!$D$26+Electrolysis!$E$9,"",Electrolysis!$D$52*Electrolysis!$D$24)))</f>
        <v>14.180314685664465</v>
      </c>
      <c r="H22" s="428">
        <f>IF(B22=Electrolysis!$E$9,0,IF(B22&lt;Electrolysis!$E$9,"",IF(B22&gt;Electrolysis!$D$26+Electrolysis!$E$9,"",IF(E22&lt;E21,Electrolysis!$D$23*Electrolysis!$D$32*(1+Electrolysis!$D$35)^((MIN(B22,2030)-2021)*LOG(1-Electrolysis!$D$36,2))*(Electrolysis!$J$4/1000)^((Electrolysis!$D$39-1)*EXP(-Electrolysis!$J$4/Electrolysis!$D$41)),0))))</f>
        <v>0</v>
      </c>
      <c r="I22" s="426">
        <f>IFERROR(IF(B22=Electrolysis!$E$9,0,IF(B22&lt;Electrolysis!$E$9,"",IF(B22&gt;Electrolysis!$D$26+Electrolysis!$E$9,"",IF(Electrolysis!$E$10="Grid",IF(ISBLANK(Electrolysis!$C$20),D22*Electrolysis!$D$50*8760,Electrolysis!$D$20*Electrolysis!$D$50*8760),0)))),"-")</f>
        <v>0</v>
      </c>
      <c r="J22" s="426">
        <f>IFERROR(IF(B22=Electrolysis!$E$9,0,IF(B22&lt;Electrolysis!$E$9,"",IF(B22&gt;Electrolysis!$D$26+Electrolysis!$E$9,"",Electrolysis!$D$43*Electrolysis!$D$44*O22))),"-")</f>
        <v>0</v>
      </c>
      <c r="K22" s="426">
        <f>IFERROR(IF(B22=Electrolysis!$E$9,0,IF(B22&lt;Electrolysis!$E$9,"",IF(B22&gt;Electrolysis!$D$26+Electrolysis!$E$9,"",-Electrolysis!$D$47*Electrolysis!$D$48*O22))),"-")</f>
        <v>0</v>
      </c>
      <c r="L22" s="426">
        <f>IF(B22=Electrolysis!$E$9,SUM(F22:K22),IF(B22&lt;Electrolysis!$E$9,"",IF(B22&gt;Electrolysis!$D$26+Electrolysis!$E$9,"",SUM(F22:K22))))</f>
        <v>14.180314685664465</v>
      </c>
      <c r="M22" s="426">
        <f>IF(B22=Electrolysis!$E$9,I22/(1+Electrolysis!$D$25)^C22,IF(B22&lt;Electrolysis!$E$9,"",IF(B22&gt;Electrolysis!$D$26+Electrolysis!$E$9,"",I22/(1+Electrolysis!$D$25)^C22)))</f>
        <v>0</v>
      </c>
      <c r="N22" s="426">
        <f>IF(B22=Electrolysis!$E$9,L22/(1+Electrolysis!$D$25)^C22,IF(B22&lt;Electrolysis!$E$9,"",IF(B22&gt;Electrolysis!$D$26+Electrolysis!$E$9,"",L22/(1+Electrolysis!$D$25)^C22)))</f>
        <v>4.8772421669108841</v>
      </c>
      <c r="O22" s="429">
        <f>IF(B22=Electrolysis!$E$9,0,IF(B22&lt;Electrolysis!$E$9,"",IF(B22&gt;Electrolysis!$D$26+Electrolysis!$E$9,"",IF(Electrolysis!$D$13="SOEC",'General values'!$C$3/('General values'!$C$3/(Electrolysis!$D$28-Electrolysis!$D$29*(E22+E21)/2/Electrolysis!$D$33)+'Prod Data'!$C$9/'Prod Data'!$C$10*(1-Electrolysis!$D$45))*Electrolysis!$D$50*8760/'General values'!$C$3,(Electrolysis!$D$28-Electrolysis!$D$29*(E22+E21)/2/Electrolysis!$D$33)*Electrolysis!$D$50*8760/'General values'!$C$3))))</f>
        <v>51.44733838058935</v>
      </c>
      <c r="P22" s="430">
        <f>IF(B22=Electrolysis!$E$9,O22/(1+Electrolysis!$D$25)^C22,IF(B22&lt;Electrolysis!$E$9,"",IF(B22&gt;Electrolysis!$D$26+Electrolysis!$E$9,"",O22/(1+Electrolysis!$D$25)^C22)))</f>
        <v>17.695032422574577</v>
      </c>
    </row>
    <row r="23" spans="2:19">
      <c r="B23" s="424">
        <v>2041</v>
      </c>
      <c r="C23" s="431">
        <f>IF(B23=Electrolysis!$E$9,B23-HOME!$A$9,IF(B23&lt;Electrolysis!$E$9,"",IF(B23&gt;Electrolysis!$D$26+Electrolysis!$E$9,"",B23-HOME!$A$9)))</f>
        <v>19</v>
      </c>
      <c r="D23" s="426" cm="1">
        <f t="array" ref="D23">IFERROR(IF(B23=Electrolysis!$E$9,"",IF(B23&lt;Electrolysis!$E$9,"",IF(B23&gt;Electrolysis!$D$26+Electrolysis!$E$9,"",IF(INDEX(Tb_Fuel[],MATCH(B23,Tb_Fuel[Year],0),HLOOKUP(Electrolysis!$E$8&amp;" - Grid",'Fuel Data'!$BB$2:$BX$3,2,FALSE)+2)=0,INDEX(Tb_Fuel[],MATCH(B23,Tb_Fuel[Year],0),HLOOKUP(Electrolysis!$E$8&amp;" - Grid",'Fuel Data'!$BB$2:$BX$3,2,FALSE)+1),INDEX(Tb_Fuel[],MATCH(B23,Tb_Fuel[Year],0),HLOOKUP(Electrolysis!$E$8&amp;" - Grid",'Fuel Data'!$BB$2:$BX$3,2,FALSE)+1))))),"")</f>
        <v>0.11</v>
      </c>
      <c r="E23" s="427">
        <f>IF(B23=Electrolysis!$E$9,0,IF(B23&lt;Electrolysis!$E$9,"",IF(B23&gt;Electrolysis!$D$26+Electrolysis!$E$9,"",IF(E22+Electrolysis!$D$50*8760&lt;Electrolysis!$D$33,E22+Electrolysis!$D$50*8760,E22+Electrolysis!$D$50*8760-Electrolysis!$D$33))))</f>
        <v>3110.6766947248689</v>
      </c>
      <c r="F23" s="426">
        <f>IF(B23=Electrolysis!$E$9,Electrolysis!$D$52,IF(B23&lt;Electrolysis!$E$9,"",IF(B23&gt;Electrolysis!$D$26+Electrolysis!$E$9,"",0)))</f>
        <v>0</v>
      </c>
      <c r="G23" s="426">
        <f>IF(B23=Electrolysis!$E$9,0,IF(B23&lt;Electrolysis!$E$9,"",IF(B23&gt;Electrolysis!$D$26+Electrolysis!$E$9,"",Electrolysis!$D$52*Electrolysis!$D$24)))</f>
        <v>14.180314685664465</v>
      </c>
      <c r="H23" s="428">
        <f>IF(B23=Electrolysis!$E$9,0,IF(B23&lt;Electrolysis!$E$9,"",IF(B23&gt;Electrolysis!$D$26+Electrolysis!$E$9,"",IF(E23&lt;E22,Electrolysis!$D$23*Electrolysis!$D$32*(1+Electrolysis!$D$35)^((MIN(B23,2030)-2021)*LOG(1-Electrolysis!$D$36,2))*(Electrolysis!$J$4/1000)^((Electrolysis!$D$39-1)*EXP(-Electrolysis!$J$4/Electrolysis!$D$41)),0))))</f>
        <v>330.17255439988838</v>
      </c>
      <c r="I23" s="426">
        <f>IFERROR(IF(B23=Electrolysis!$E$9,0,IF(B23&lt;Electrolysis!$E$9,"",IF(B23&gt;Electrolysis!$D$26+Electrolysis!$E$9,"",IF(Electrolysis!$E$10="Grid",IF(ISBLANK(Electrolysis!$C$20),D23*Electrolysis!$D$50*8760,Electrolysis!$D$20*Electrolysis!$D$50*8760),0)))),"-")</f>
        <v>0</v>
      </c>
      <c r="J23" s="426">
        <f>IFERROR(IF(B23=Electrolysis!$E$9,0,IF(B23&lt;Electrolysis!$E$9,"",IF(B23&gt;Electrolysis!$D$26+Electrolysis!$E$9,"",Electrolysis!$D$43*Electrolysis!$D$44*O23))),"-")</f>
        <v>0</v>
      </c>
      <c r="K23" s="426">
        <f>IFERROR(IF(B23=Electrolysis!$E$9,0,IF(B23&lt;Electrolysis!$E$9,"",IF(B23&gt;Electrolysis!$D$26+Electrolysis!$E$9,"",-Electrolysis!$D$47*Electrolysis!$D$48*O23))),"-")</f>
        <v>0</v>
      </c>
      <c r="L23" s="426">
        <f>IF(B23=Electrolysis!$E$9,SUM(F23:K23),IF(B23&lt;Electrolysis!$E$9,"",IF(B23&gt;Electrolysis!$D$26+Electrolysis!$E$9,"",SUM(F23:K23))))</f>
        <v>344.35286908555287</v>
      </c>
      <c r="M23" s="426">
        <f>IF(B23=Electrolysis!$E$9,I23/(1+Electrolysis!$D$25)^C23,IF(B23&lt;Electrolysis!$E$9,"",IF(B23&gt;Electrolysis!$D$26+Electrolysis!$E$9,"",I23/(1+Electrolysis!$D$25)^C23)))</f>
        <v>0</v>
      </c>
      <c r="N23" s="426">
        <f>IF(B23=Electrolysis!$E$9,L23/(1+Electrolysis!$D$25)^C23,IF(B23&lt;Electrolysis!$E$9,"",IF(B23&gt;Electrolysis!$D$26+Electrolysis!$E$9,"",L23/(1+Electrolysis!$D$25)^C23)))</f>
        <v>111.6198707789147</v>
      </c>
      <c r="O23" s="429">
        <f>IF(B23=Electrolysis!$E$9,0,IF(B23&lt;Electrolysis!$E$9,"",IF(B23&gt;Electrolysis!$D$26+Electrolysis!$E$9,"",IF(Electrolysis!$D$13="SOEC",'General values'!$C$3/('General values'!$C$3/(Electrolysis!$D$28-Electrolysis!$D$29*(E23+E22)/2/Electrolysis!$D$33)+'Prod Data'!$C$9/'Prod Data'!$C$10*(1-Electrolysis!$D$45))*Electrolysis!$D$50*8760/'General values'!$C$3,(Electrolysis!$D$28-Electrolysis!$D$29*(E23+E22)/2/Electrolysis!$D$33)*Electrolysis!$D$50*8760/'General values'!$C$3))))</f>
        <v>56.923162294497814</v>
      </c>
      <c r="P23" s="430">
        <f>IF(B23=Electrolysis!$E$9,O23/(1+Electrolysis!$D$25)^C23,IF(B23&lt;Electrolysis!$E$9,"",IF(B23&gt;Electrolysis!$D$26+Electrolysis!$E$9,"",O23/(1+Electrolysis!$D$25)^C23)))</f>
        <v>18.451293977923775</v>
      </c>
    </row>
    <row r="24" spans="2:19">
      <c r="B24" s="424">
        <v>2042</v>
      </c>
      <c r="C24" s="431">
        <f>IF(B24=Electrolysis!$E$9,B24-HOME!$A$9,IF(B24&lt;Electrolysis!$E$9,"",IF(B24&gt;Electrolysis!$D$26+Electrolysis!$E$9,"",B24-HOME!$A$9)))</f>
        <v>20</v>
      </c>
      <c r="D24" s="426" cm="1">
        <f t="array" ref="D24">IFERROR(IF(B24=Electrolysis!$E$9,"",IF(B24&lt;Electrolysis!$E$9,"",IF(B24&gt;Electrolysis!$D$26+Electrolysis!$E$9,"",IF(INDEX(Tb_Fuel[],MATCH(B24,Tb_Fuel[Year],0),HLOOKUP(Electrolysis!$E$8&amp;" - Grid",'Fuel Data'!$BB$2:$BX$3,2,FALSE)+2)=0,INDEX(Tb_Fuel[],MATCH(B24,Tb_Fuel[Year],0),HLOOKUP(Electrolysis!$E$8&amp;" - Grid",'Fuel Data'!$BB$2:$BX$3,2,FALSE)+1),INDEX(Tb_Fuel[],MATCH(B24,Tb_Fuel[Year],0),HLOOKUP(Electrolysis!$E$8&amp;" - Grid",'Fuel Data'!$BB$2:$BX$3,2,FALSE)+1))))),"")</f>
        <v>0.11</v>
      </c>
      <c r="E24" s="427">
        <f>IF(B24=Electrolysis!$E$9,0,IF(B24&lt;Electrolysis!$E$9,"",IF(B24&gt;Electrolysis!$D$26+Electrolysis!$E$9,"",IF(E23+Electrolysis!$D$50*8760&lt;Electrolysis!$D$33,E23+Electrolysis!$D$50*8760,E23+Electrolysis!$D$50*8760-Electrolysis!$D$33))))</f>
        <v>7210.3566947248692</v>
      </c>
      <c r="F24" s="426">
        <f>IF(B24=Electrolysis!$E$9,Electrolysis!$D$52,IF(B24&lt;Electrolysis!$E$9,"",IF(B24&gt;Electrolysis!$D$26+Electrolysis!$E$9,"",0)))</f>
        <v>0</v>
      </c>
      <c r="G24" s="426">
        <f>IF(B24=Electrolysis!$E$9,0,IF(B24&lt;Electrolysis!$E$9,"",IF(B24&gt;Electrolysis!$D$26+Electrolysis!$E$9,"",Electrolysis!$D$52*Electrolysis!$D$24)))</f>
        <v>14.180314685664465</v>
      </c>
      <c r="H24" s="428">
        <f>IF(B24=Electrolysis!$E$9,0,IF(B24&lt;Electrolysis!$E$9,"",IF(B24&gt;Electrolysis!$D$26+Electrolysis!$E$9,"",IF(E24&lt;E23,Electrolysis!$D$23*Electrolysis!$D$32*(1+Electrolysis!$D$35)^((MIN(B24,2030)-2021)*LOG(1-Electrolysis!$D$36,2))*(Electrolysis!$J$4/1000)^((Electrolysis!$D$39-1)*EXP(-Electrolysis!$J$4/Electrolysis!$D$41)),0))))</f>
        <v>0</v>
      </c>
      <c r="I24" s="426">
        <f>IFERROR(IF(B24=Electrolysis!$E$9,0,IF(B24&lt;Electrolysis!$E$9,"",IF(B24&gt;Electrolysis!$D$26+Electrolysis!$E$9,"",IF(Electrolysis!$E$10="Grid",IF(ISBLANK(Electrolysis!$C$20),D24*Electrolysis!$D$50*8760,Electrolysis!$D$20*Electrolysis!$D$50*8760),0)))),"-")</f>
        <v>0</v>
      </c>
      <c r="J24" s="426">
        <f>IFERROR(IF(B24=Electrolysis!$E$9,0,IF(B24&lt;Electrolysis!$E$9,"",IF(B24&gt;Electrolysis!$D$26+Electrolysis!$E$9,"",Electrolysis!$D$43*Electrolysis!$D$44*O24))),"-")</f>
        <v>0</v>
      </c>
      <c r="K24" s="426">
        <f>IFERROR(IF(B24=Electrolysis!$E$9,0,IF(B24&lt;Electrolysis!$E$9,"",IF(B24&gt;Electrolysis!$D$26+Electrolysis!$E$9,"",-Electrolysis!$D$47*Electrolysis!$D$48*O24))),"-")</f>
        <v>0</v>
      </c>
      <c r="L24" s="426">
        <f>IF(B24=Electrolysis!$E$9,SUM(F24:K24),IF(B24&lt;Electrolysis!$E$9,"",IF(B24&gt;Electrolysis!$D$26+Electrolysis!$E$9,"",SUM(F24:K24))))</f>
        <v>14.180314685664465</v>
      </c>
      <c r="M24" s="426">
        <f>IF(B24=Electrolysis!$E$9,I24/(1+Electrolysis!$D$25)^C24,IF(B24&lt;Electrolysis!$E$9,"",IF(B24&gt;Electrolysis!$D$26+Electrolysis!$E$9,"",I24/(1+Electrolysis!$D$25)^C24)))</f>
        <v>0</v>
      </c>
      <c r="N24" s="426">
        <f>IF(B24=Electrolysis!$E$9,L24/(1+Electrolysis!$D$25)^C24,IF(B24&lt;Electrolysis!$E$9,"",IF(B24&gt;Electrolysis!$D$26+Electrolysis!$E$9,"",L24/(1+Electrolysis!$D$25)^C24)))</f>
        <v>4.3318462786035887</v>
      </c>
      <c r="O24" s="429">
        <f>IF(B24=Electrolysis!$E$9,0,IF(B24&lt;Electrolysis!$E$9,"",IF(B24&gt;Electrolysis!$D$26+Electrolysis!$E$9,"",IF(Electrolysis!$D$13="SOEC",'General values'!$C$3/('General values'!$C$3/(Electrolysis!$D$28-Electrolysis!$D$29*(E24+E23)/2/Electrolysis!$D$33)+'Prod Data'!$C$9/'Prod Data'!$C$10*(1-Electrolysis!$D$45))*Electrolysis!$D$50*8760/'General values'!$C$3,(Electrolysis!$D$28-Electrolysis!$D$29*(E24+E23)/2/Electrolysis!$D$33)*Electrolysis!$D$50*8760/'General values'!$C$3))))</f>
        <v>62.398986208406278</v>
      </c>
      <c r="P24" s="430">
        <f>IF(B24=Electrolysis!$E$9,O24/(1+Electrolysis!$D$25)^C24,IF(B24&lt;Electrolysis!$E$9,"",IF(B24&gt;Electrolysis!$D$26+Electrolysis!$E$9,"",O24/(1+Electrolysis!$D$25)^C24)))</f>
        <v>19.061834817303666</v>
      </c>
    </row>
    <row r="25" spans="2:19">
      <c r="B25" s="424">
        <v>2043</v>
      </c>
      <c r="C25" s="431">
        <f>IF(B25=Electrolysis!$E$9,B25-HOME!$A$9,IF(B25&lt;Electrolysis!$E$9,"",IF(B25&gt;Electrolysis!$D$26+Electrolysis!$E$9,"",B25-HOME!$A$9)))</f>
        <v>21</v>
      </c>
      <c r="D25" s="426" cm="1">
        <f t="array" ref="D25">IFERROR(IF(B25=Electrolysis!$E$9,"",IF(B25&lt;Electrolysis!$E$9,"",IF(B25&gt;Electrolysis!$D$26+Electrolysis!$E$9,"",IF(INDEX(Tb_Fuel[],MATCH(B25,Tb_Fuel[Year],0),HLOOKUP(Electrolysis!$E$8&amp;" - Grid",'Fuel Data'!$BB$2:$BX$3,2,FALSE)+2)=0,INDEX(Tb_Fuel[],MATCH(B25,Tb_Fuel[Year],0),HLOOKUP(Electrolysis!$E$8&amp;" - Grid",'Fuel Data'!$BB$2:$BX$3,2,FALSE)+1),INDEX(Tb_Fuel[],MATCH(B25,Tb_Fuel[Year],0),HLOOKUP(Electrolysis!$E$8&amp;" - Grid",'Fuel Data'!$BB$2:$BX$3,2,FALSE)+1))))),"")</f>
        <v>0.11</v>
      </c>
      <c r="E25" s="427">
        <f>IF(B25=Electrolysis!$E$9,0,IF(B25&lt;Electrolysis!$E$9,"",IF(B25&gt;Electrolysis!$D$26+Electrolysis!$E$9,"",IF(E24+Electrolysis!$D$50*8760&lt;Electrolysis!$D$33,E24+Electrolysis!$D$50*8760,E24+Electrolysis!$D$50*8760-Electrolysis!$D$33))))</f>
        <v>11310.036694724869</v>
      </c>
      <c r="F25" s="426">
        <f>IF(B25=Electrolysis!$E$9,Electrolysis!$D$52,IF(B25&lt;Electrolysis!$E$9,"",IF(B25&gt;Electrolysis!$D$26+Electrolysis!$E$9,"",0)))</f>
        <v>0</v>
      </c>
      <c r="G25" s="426">
        <f>IF(B25=Electrolysis!$E$9,0,IF(B25&lt;Electrolysis!$E$9,"",IF(B25&gt;Electrolysis!$D$26+Electrolysis!$E$9,"",Electrolysis!$D$52*Electrolysis!$D$24)))</f>
        <v>14.180314685664465</v>
      </c>
      <c r="H25" s="428">
        <f>IF(B25=Electrolysis!$E$9,0,IF(B25&lt;Electrolysis!$E$9,"",IF(B25&gt;Electrolysis!$D$26+Electrolysis!$E$9,"",IF(E25&lt;E24,Electrolysis!$D$23*Electrolysis!$D$32*(1+Electrolysis!$D$35)^((MIN(B25,2030)-2021)*LOG(1-Electrolysis!$D$36,2))*(Electrolysis!$J$4/1000)^((Electrolysis!$D$39-1)*EXP(-Electrolysis!$J$4/Electrolysis!$D$41)),0))))</f>
        <v>0</v>
      </c>
      <c r="I25" s="426">
        <f>IFERROR(IF(B25=Electrolysis!$E$9,0,IF(B25&lt;Electrolysis!$E$9,"",IF(B25&gt;Electrolysis!$D$26+Electrolysis!$E$9,"",IF(Electrolysis!$E$10="Grid",IF(ISBLANK(Electrolysis!$C$20),D25*Electrolysis!$D$50*8760,Electrolysis!$D$20*Electrolysis!$D$50*8760),0)))),"-")</f>
        <v>0</v>
      </c>
      <c r="J25" s="426">
        <f>IFERROR(IF(B25=Electrolysis!$E$9,0,IF(B25&lt;Electrolysis!$E$9,"",IF(B25&gt;Electrolysis!$D$26+Electrolysis!$E$9,"",Electrolysis!$D$43*Electrolysis!$D$44*O25))),"-")</f>
        <v>0</v>
      </c>
      <c r="K25" s="426">
        <f>IFERROR(IF(B25=Electrolysis!$E$9,0,IF(B25&lt;Electrolysis!$E$9,"",IF(B25&gt;Electrolysis!$D$26+Electrolysis!$E$9,"",-Electrolysis!$D$47*Electrolysis!$D$48*O25))),"-")</f>
        <v>0</v>
      </c>
      <c r="L25" s="426">
        <f>IF(B25=Electrolysis!$E$9,SUM(F25:K25),IF(B25&lt;Electrolysis!$E$9,"",IF(B25&gt;Electrolysis!$D$26+Electrolysis!$E$9,"",SUM(F25:K25))))</f>
        <v>14.180314685664465</v>
      </c>
      <c r="M25" s="426">
        <f>IF(B25=Electrolysis!$E$9,I25/(1+Electrolysis!$D$25)^C25,IF(B25&lt;Electrolysis!$E$9,"",IF(B25&gt;Electrolysis!$D$26+Electrolysis!$E$9,"",I25/(1+Electrolysis!$D$25)^C25)))</f>
        <v>0</v>
      </c>
      <c r="N25" s="426">
        <f>IF(B25=Electrolysis!$E$9,L25/(1+Electrolysis!$D$25)^C25,IF(B25&lt;Electrolysis!$E$9,"",IF(B25&gt;Electrolysis!$D$26+Electrolysis!$E$9,"",L25/(1+Electrolysis!$D$25)^C25)))</f>
        <v>4.0824642949256447</v>
      </c>
      <c r="O25" s="429">
        <f>IF(B25=Electrolysis!$E$9,0,IF(B25&lt;Electrolysis!$E$9,"",IF(B25&gt;Electrolysis!$D$26+Electrolysis!$E$9,"",IF(Electrolysis!$D$13="SOEC",'General values'!$C$3/('General values'!$C$3/(Electrolysis!$D$28-Electrolysis!$D$29*(E25+E24)/2/Electrolysis!$D$33)+'Prod Data'!$C$9/'Prod Data'!$C$10*(1-Electrolysis!$D$45))*Electrolysis!$D$50*8760/'General values'!$C$3,(Electrolysis!$D$28-Electrolysis!$D$29*(E25+E24)/2/Electrolysis!$D$33)*Electrolysis!$D$50*8760/'General values'!$C$3))))</f>
        <v>61.7246751088134</v>
      </c>
      <c r="P25" s="430">
        <f>IF(B25=Electrolysis!$E$9,O25/(1+Electrolysis!$D$25)^C25,IF(B25&lt;Electrolysis!$E$9,"",IF(B25&gt;Electrolysis!$D$26+Electrolysis!$E$9,"",O25/(1+Electrolysis!$D$25)^C25)))</f>
        <v>17.770323708144751</v>
      </c>
    </row>
    <row r="26" spans="2:19">
      <c r="B26" s="424">
        <v>2044</v>
      </c>
      <c r="C26" s="431">
        <f>IF(B26=Electrolysis!$E$9,B26-HOME!$A$9,IF(B26&lt;Electrolysis!$E$9,"",IF(B26&gt;Electrolysis!$D$26+Electrolysis!$E$9,"",B26-HOME!$A$9)))</f>
        <v>22</v>
      </c>
      <c r="D26" s="426" cm="1">
        <f t="array" ref="D26">IFERROR(IF(B26=Electrolysis!$E$9,"",IF(B26&lt;Electrolysis!$E$9,"",IF(B26&gt;Electrolysis!$D$26+Electrolysis!$E$9,"",IF(INDEX(Tb_Fuel[],MATCH(B26,Tb_Fuel[Year],0),HLOOKUP(Electrolysis!$E$8&amp;" - Grid",'Fuel Data'!$BB$2:$BX$3,2,FALSE)+2)=0,INDEX(Tb_Fuel[],MATCH(B26,Tb_Fuel[Year],0),HLOOKUP(Electrolysis!$E$8&amp;" - Grid",'Fuel Data'!$BB$2:$BX$3,2,FALSE)+1),INDEX(Tb_Fuel[],MATCH(B26,Tb_Fuel[Year],0),HLOOKUP(Electrolysis!$E$8&amp;" - Grid",'Fuel Data'!$BB$2:$BX$3,2,FALSE)+1))))),"")</f>
        <v>0.11</v>
      </c>
      <c r="E26" s="427">
        <f>IF(B26=Electrolysis!$E$9,0,IF(B26&lt;Electrolysis!$E$9,"",IF(B26&gt;Electrolysis!$D$26+Electrolysis!$E$9,"",IF(E25+Electrolysis!$D$50*8760&lt;Electrolysis!$D$33,E25+Electrolysis!$D$50*8760,E25+Electrolysis!$D$50*8760-Electrolysis!$D$33))))</f>
        <v>15409.71669472487</v>
      </c>
      <c r="F26" s="426">
        <f>IF(B26=Electrolysis!$E$9,Electrolysis!$D$52,IF(B26&lt;Electrolysis!$E$9,"",IF(B26&gt;Electrolysis!$D$26+Electrolysis!$E$9,"",0)))</f>
        <v>0</v>
      </c>
      <c r="G26" s="426">
        <f>IF(B26=Electrolysis!$E$9,0,IF(B26&lt;Electrolysis!$E$9,"",IF(B26&gt;Electrolysis!$D$26+Electrolysis!$E$9,"",Electrolysis!$D$52*Electrolysis!$D$24)))</f>
        <v>14.180314685664465</v>
      </c>
      <c r="H26" s="428">
        <f>IF(B26=Electrolysis!$E$9,0,IF(B26&lt;Electrolysis!$E$9,"",IF(B26&gt;Electrolysis!$D$26+Electrolysis!$E$9,"",IF(E26&lt;E25,Electrolysis!$D$23*Electrolysis!$D$32*(1+Electrolysis!$D$35)^((MIN(B26,2030)-2021)*LOG(1-Electrolysis!$D$36,2))*(Electrolysis!$J$4/1000)^((Electrolysis!$D$39-1)*EXP(-Electrolysis!$J$4/Electrolysis!$D$41)),0))))</f>
        <v>0</v>
      </c>
      <c r="I26" s="426">
        <f>IFERROR(IF(B26=Electrolysis!$E$9,0,IF(B26&lt;Electrolysis!$E$9,"",IF(B26&gt;Electrolysis!$D$26+Electrolysis!$E$9,"",IF(Electrolysis!$E$10="Grid",IF(ISBLANK(Electrolysis!$C$20),D26*Electrolysis!$D$50*8760,Electrolysis!$D$20*Electrolysis!$D$50*8760),0)))),"-")</f>
        <v>0</v>
      </c>
      <c r="J26" s="426">
        <f>IFERROR(IF(B26=Electrolysis!$E$9,0,IF(B26&lt;Electrolysis!$E$9,"",IF(B26&gt;Electrolysis!$D$26+Electrolysis!$E$9,"",Electrolysis!$D$43*Electrolysis!$D$44*O26))),"-")</f>
        <v>0</v>
      </c>
      <c r="K26" s="426">
        <f>IFERROR(IF(B26=Electrolysis!$E$9,0,IF(B26&lt;Electrolysis!$E$9,"",IF(B26&gt;Electrolysis!$D$26+Electrolysis!$E$9,"",-Electrolysis!$D$47*Electrolysis!$D$48*O26))),"-")</f>
        <v>0</v>
      </c>
      <c r="L26" s="426">
        <f>IF(B26=Electrolysis!$E$9,SUM(F26:K26),IF(B26&lt;Electrolysis!$E$9,"",IF(B26&gt;Electrolysis!$D$26+Electrolysis!$E$9,"",SUM(F26:K26))))</f>
        <v>14.180314685664465</v>
      </c>
      <c r="M26" s="426">
        <f>IF(B26=Electrolysis!$E$9,I26/(1+Electrolysis!$D$25)^C26,IF(B26&lt;Electrolysis!$E$9,"",IF(B26&gt;Electrolysis!$D$26+Electrolysis!$E$9,"",I26/(1+Electrolysis!$D$25)^C26)))</f>
        <v>0</v>
      </c>
      <c r="N26" s="426">
        <f>IF(B26=Electrolysis!$E$9,L26/(1+Electrolysis!$D$25)^C26,IF(B26&lt;Electrolysis!$E$9,"",IF(B26&gt;Electrolysis!$D$26+Electrolysis!$E$9,"",L26/(1+Electrolysis!$D$25)^C26)))</f>
        <v>3.8474390935024947</v>
      </c>
      <c r="O26" s="429">
        <f>IF(B26=Electrolysis!$E$9,0,IF(B26&lt;Electrolysis!$E$9,"",IF(B26&gt;Electrolysis!$D$26+Electrolysis!$E$9,"",IF(Electrolysis!$D$13="SOEC",'General values'!$C$3/('General values'!$C$3/(Electrolysis!$D$28-Electrolysis!$D$29*(E26+E25)/2/Electrolysis!$D$33)+'Prod Data'!$C$9/'Prod Data'!$C$10*(1-Electrolysis!$D$45))*Electrolysis!$D$50*8760/'General values'!$C$3,(Electrolysis!$D$28-Electrolysis!$D$29*(E26+E25)/2/Electrolysis!$D$33)*Electrolysis!$D$50*8760/'General values'!$C$3))))</f>
        <v>61.050364009220509</v>
      </c>
      <c r="P26" s="430">
        <f>IF(B26=Electrolysis!$E$9,O26/(1+Electrolysis!$D$25)^C26,IF(B26&lt;Electrolysis!$E$9,"",IF(B26&gt;Electrolysis!$D$26+Electrolysis!$E$9,"",O26/(1+Electrolysis!$D$25)^C26)))</f>
        <v>16.564340239860218</v>
      </c>
    </row>
    <row r="27" spans="2:19">
      <c r="B27" s="424">
        <v>2045</v>
      </c>
      <c r="C27" s="431">
        <f>IF(B27=Electrolysis!$E$9,B27-HOME!$A$9,IF(B27&lt;Electrolysis!$E$9,"",IF(B27&gt;Electrolysis!$D$26+Electrolysis!$E$9,"",B27-HOME!$A$9)))</f>
        <v>23</v>
      </c>
      <c r="D27" s="426" cm="1">
        <f t="array" ref="D27">IFERROR(IF(B27=Electrolysis!$E$9,"",IF(B27&lt;Electrolysis!$E$9,"",IF(B27&gt;Electrolysis!$D$26+Electrolysis!$E$9,"",IF(INDEX(Tb_Fuel[],MATCH(B27,Tb_Fuel[Year],0),HLOOKUP(Electrolysis!$E$8&amp;" - Grid",'Fuel Data'!$BB$2:$BX$3,2,FALSE)+2)=0,INDEX(Tb_Fuel[],MATCH(B27,Tb_Fuel[Year],0),HLOOKUP(Electrolysis!$E$8&amp;" - Grid",'Fuel Data'!$BB$2:$BX$3,2,FALSE)+1),INDEX(Tb_Fuel[],MATCH(B27,Tb_Fuel[Year],0),HLOOKUP(Electrolysis!$E$8&amp;" - Grid",'Fuel Data'!$BB$2:$BX$3,2,FALSE)+1))))),"")</f>
        <v>0.11</v>
      </c>
      <c r="E27" s="427">
        <f>IF(B27=Electrolysis!$E$9,0,IF(B27&lt;Electrolysis!$E$9,"",IF(B27&gt;Electrolysis!$D$26+Electrolysis!$E$9,"",IF(E26+Electrolysis!$D$50*8760&lt;Electrolysis!$D$33,E26+Electrolysis!$D$50*8760,E26+Electrolysis!$D$50*8760-Electrolysis!$D$33))))</f>
        <v>19509.39669472487</v>
      </c>
      <c r="F27" s="426">
        <f>IF(B27=Electrolysis!$E$9,Electrolysis!$D$52,IF(B27&lt;Electrolysis!$E$9,"",IF(B27&gt;Electrolysis!$D$26+Electrolysis!$E$9,"",0)))</f>
        <v>0</v>
      </c>
      <c r="G27" s="426">
        <f>IF(B27=Electrolysis!$E$9,0,IF(B27&lt;Electrolysis!$E$9,"",IF(B27&gt;Electrolysis!$D$26+Electrolysis!$E$9,"",Electrolysis!$D$52*Electrolysis!$D$24)))</f>
        <v>14.180314685664465</v>
      </c>
      <c r="H27" s="428">
        <f>IF(B27=Electrolysis!$E$9,0,IF(B27&lt;Electrolysis!$E$9,"",IF(B27&gt;Electrolysis!$D$26+Electrolysis!$E$9,"",IF(E27&lt;E26,Electrolysis!$D$23*Electrolysis!$D$32*(1+Electrolysis!$D$35)^((MIN(B27,2030)-2021)*LOG(1-Electrolysis!$D$36,2))*(Electrolysis!$J$4/1000)^((Electrolysis!$D$39-1)*EXP(-Electrolysis!$J$4/Electrolysis!$D$41)),0))))</f>
        <v>0</v>
      </c>
      <c r="I27" s="426">
        <f>IFERROR(IF(B27=Electrolysis!$E$9,0,IF(B27&lt;Electrolysis!$E$9,"",IF(B27&gt;Electrolysis!$D$26+Electrolysis!$E$9,"",IF(Electrolysis!$E$10="Grid",IF(ISBLANK(Electrolysis!$C$20),D27*Electrolysis!$D$50*8760,Electrolysis!$D$20*Electrolysis!$D$50*8760),0)))),"-")</f>
        <v>0</v>
      </c>
      <c r="J27" s="426">
        <f>IFERROR(IF(B27=Electrolysis!$E$9,0,IF(B27&lt;Electrolysis!$E$9,"",IF(B27&gt;Electrolysis!$D$26+Electrolysis!$E$9,"",Electrolysis!$D$43*Electrolysis!$D$44*O27))),"-")</f>
        <v>0</v>
      </c>
      <c r="K27" s="426">
        <f>IFERROR(IF(B27=Electrolysis!$E$9,0,IF(B27&lt;Electrolysis!$E$9,"",IF(B27&gt;Electrolysis!$D$26+Electrolysis!$E$9,"",-Electrolysis!$D$47*Electrolysis!$D$48*O27))),"-")</f>
        <v>0</v>
      </c>
      <c r="L27" s="426">
        <f>IF(B27=Electrolysis!$E$9,SUM(F27:K27),IF(B27&lt;Electrolysis!$E$9,"",IF(B27&gt;Electrolysis!$D$26+Electrolysis!$E$9,"",SUM(F27:K27))))</f>
        <v>14.180314685664465</v>
      </c>
      <c r="M27" s="426">
        <f>IF(B27=Electrolysis!$E$9,I27/(1+Electrolysis!$D$25)^C27,IF(B27&lt;Electrolysis!$E$9,"",IF(B27&gt;Electrolysis!$D$26+Electrolysis!$E$9,"",I27/(1+Electrolysis!$D$25)^C27)))</f>
        <v>0</v>
      </c>
      <c r="N27" s="426">
        <f>IF(B27=Electrolysis!$E$9,L27/(1+Electrolysis!$D$25)^C27,IF(B27&lt;Electrolysis!$E$9,"",IF(B27&gt;Electrolysis!$D$26+Electrolysis!$E$9,"",L27/(1+Electrolysis!$D$25)^C27)))</f>
        <v>3.6259441623557191</v>
      </c>
      <c r="O27" s="429">
        <f>IF(B27=Electrolysis!$E$9,0,IF(B27&lt;Electrolysis!$E$9,"",IF(B27&gt;Electrolysis!$D$26+Electrolysis!$E$9,"",IF(Electrolysis!$D$13="SOEC",'General values'!$C$3/('General values'!$C$3/(Electrolysis!$D$28-Electrolysis!$D$29*(E27+E26)/2/Electrolysis!$D$33)+'Prod Data'!$C$9/'Prod Data'!$C$10*(1-Electrolysis!$D$45))*Electrolysis!$D$50*8760/'General values'!$C$3,(Electrolysis!$D$28-Electrolysis!$D$29*(E27+E26)/2/Electrolysis!$D$33)*Electrolysis!$D$50*8760/'General values'!$C$3))))</f>
        <v>60.376052909627617</v>
      </c>
      <c r="P27" s="430">
        <f>IF(B27=Electrolysis!$E$9,O27/(1+Electrolysis!$D$25)^C27,IF(B27&lt;Electrolysis!$E$9,"",IF(B27&gt;Electrolysis!$D$26+Electrolysis!$E$9,"",O27/(1+Electrolysis!$D$25)^C27)))</f>
        <v>15.438317233894733</v>
      </c>
    </row>
    <row r="28" spans="2:19">
      <c r="B28" s="424">
        <v>2046</v>
      </c>
      <c r="C28" s="431">
        <f>IF(B28=Electrolysis!$E$9,B28-HOME!$A$9,IF(B28&lt;Electrolysis!$E$9,"",IF(B28&gt;Electrolysis!$D$26+Electrolysis!$E$9,"",B28-HOME!$A$9)))</f>
        <v>24</v>
      </c>
      <c r="D28" s="426" cm="1">
        <f t="array" ref="D28">IFERROR(IF(B28=Electrolysis!$E$9,"",IF(B28&lt;Electrolysis!$E$9,"",IF(B28&gt;Electrolysis!$D$26+Electrolysis!$E$9,"",IF(INDEX(Tb_Fuel[],MATCH(B28,Tb_Fuel[Year],0),HLOOKUP(Electrolysis!$E$8&amp;" - Grid",'Fuel Data'!$BB$2:$BX$3,2,FALSE)+2)=0,INDEX(Tb_Fuel[],MATCH(B28,Tb_Fuel[Year],0),HLOOKUP(Electrolysis!$E$8&amp;" - Grid",'Fuel Data'!$BB$2:$BX$3,2,FALSE)+1),INDEX(Tb_Fuel[],MATCH(B28,Tb_Fuel[Year],0),HLOOKUP(Electrolysis!$E$8&amp;" - Grid",'Fuel Data'!$BB$2:$BX$3,2,FALSE)+1))))),"")</f>
        <v>0.11</v>
      </c>
      <c r="E28" s="427">
        <f>IF(B28=Electrolysis!$E$9,0,IF(B28&lt;Electrolysis!$E$9,"",IF(B28&gt;Electrolysis!$D$26+Electrolysis!$E$9,"",IF(E27+Electrolysis!$D$50*8760&lt;Electrolysis!$D$33,E27+Electrolysis!$D$50*8760,E27+Electrolysis!$D$50*8760-Electrolysis!$D$33))))</f>
        <v>23609.07669472487</v>
      </c>
      <c r="F28" s="426">
        <f>IF(B28=Electrolysis!$E$9,Electrolysis!$D$52,IF(B28&lt;Electrolysis!$E$9,"",IF(B28&gt;Electrolysis!$D$26+Electrolysis!$E$9,"",0)))</f>
        <v>0</v>
      </c>
      <c r="G28" s="426">
        <f>IF(B28=Electrolysis!$E$9,0,IF(B28&lt;Electrolysis!$E$9,"",IF(B28&gt;Electrolysis!$D$26+Electrolysis!$E$9,"",Electrolysis!$D$52*Electrolysis!$D$24)))</f>
        <v>14.180314685664465</v>
      </c>
      <c r="H28" s="428">
        <f>IF(B28=Electrolysis!$E$9,0,IF(B28&lt;Electrolysis!$E$9,"",IF(B28&gt;Electrolysis!$D$26+Electrolysis!$E$9,"",IF(E28&lt;E27,Electrolysis!$D$23*Electrolysis!$D$32*(1+Electrolysis!$D$35)^((MIN(B28,2030)-2021)*LOG(1-Electrolysis!$D$36,2))*(Electrolysis!$J$4/1000)^((Electrolysis!$D$39-1)*EXP(-Electrolysis!$J$4/Electrolysis!$D$41)),0))))</f>
        <v>0</v>
      </c>
      <c r="I28" s="426">
        <f>IFERROR(IF(B28=Electrolysis!$E$9,0,IF(B28&lt;Electrolysis!$E$9,"",IF(B28&gt;Electrolysis!$D$26+Electrolysis!$E$9,"",IF(Electrolysis!$E$10="Grid",IF(ISBLANK(Electrolysis!$C$20),D28*Electrolysis!$D$50*8760,Electrolysis!$D$20*Electrolysis!$D$50*8760),0)))),"-")</f>
        <v>0</v>
      </c>
      <c r="J28" s="426">
        <f>IFERROR(IF(B28=Electrolysis!$E$9,0,IF(B28&lt;Electrolysis!$E$9,"",IF(B28&gt;Electrolysis!$D$26+Electrolysis!$E$9,"",Electrolysis!$D$43*Electrolysis!$D$44*O28))),"-")</f>
        <v>0</v>
      </c>
      <c r="K28" s="426">
        <f>IFERROR(IF(B28=Electrolysis!$E$9,0,IF(B28&lt;Electrolysis!$E$9,"",IF(B28&gt;Electrolysis!$D$26+Electrolysis!$E$9,"",-Electrolysis!$D$47*Electrolysis!$D$48*O28))),"-")</f>
        <v>0</v>
      </c>
      <c r="L28" s="426">
        <f>IF(B28=Electrolysis!$E$9,SUM(F28:K28),IF(B28&lt;Electrolysis!$E$9,"",IF(B28&gt;Electrolysis!$D$26+Electrolysis!$E$9,"",SUM(F28:K28))))</f>
        <v>14.180314685664465</v>
      </c>
      <c r="M28" s="426">
        <f>IF(B28=Electrolysis!$E$9,I28/(1+Electrolysis!$D$25)^C28,IF(B28&lt;Electrolysis!$E$9,"",IF(B28&gt;Electrolysis!$D$26+Electrolysis!$E$9,"",I28/(1+Electrolysis!$D$25)^C28)))</f>
        <v>0</v>
      </c>
      <c r="N28" s="426">
        <f>IF(B28=Electrolysis!$E$9,L28/(1+Electrolysis!$D$25)^C28,IF(B28&lt;Electrolysis!$E$9,"",IF(B28&gt;Electrolysis!$D$26+Electrolysis!$E$9,"",L28/(1+Electrolysis!$D$25)^C28)))</f>
        <v>3.417200571342323</v>
      </c>
      <c r="O28" s="429">
        <f>IF(B28=Electrolysis!$E$9,0,IF(B28&lt;Electrolysis!$E$9,"",IF(B28&gt;Electrolysis!$D$26+Electrolysis!$E$9,"",IF(Electrolysis!$D$13="SOEC",'General values'!$C$3/('General values'!$C$3/(Electrolysis!$D$28-Electrolysis!$D$29*(E28+E27)/2/Electrolysis!$D$33)+'Prod Data'!$C$9/'Prod Data'!$C$10*(1-Electrolysis!$D$45))*Electrolysis!$D$50*8760/'General values'!$C$3,(Electrolysis!$D$28-Electrolysis!$D$29*(E28+E27)/2/Electrolysis!$D$33)*Electrolysis!$D$50*8760/'General values'!$C$3))))</f>
        <v>59.70174181003474</v>
      </c>
      <c r="P28" s="430">
        <f>IF(B28=Electrolysis!$E$9,O28/(1+Electrolysis!$D$25)^C28,IF(B28&lt;Electrolysis!$E$9,"",IF(B28&gt;Electrolysis!$D$26+Electrolysis!$E$9,"",O28/(1+Electrolysis!$D$25)^C28)))</f>
        <v>14.387045051237726</v>
      </c>
    </row>
    <row r="29" spans="2:19">
      <c r="B29" s="424">
        <v>2047</v>
      </c>
      <c r="C29" s="431">
        <f>IF(B29=Electrolysis!$E$9,B29-HOME!$A$9,IF(B29&lt;Electrolysis!$E$9,"",IF(B29&gt;Electrolysis!$D$26+Electrolysis!$E$9,"",B29-HOME!$A$9)))</f>
        <v>25</v>
      </c>
      <c r="D29" s="426" cm="1">
        <f t="array" ref="D29">IFERROR(IF(B29=Electrolysis!$E$9,"",IF(B29&lt;Electrolysis!$E$9,"",IF(B29&gt;Electrolysis!$D$26+Electrolysis!$E$9,"",IF(INDEX(Tb_Fuel[],MATCH(B29,Tb_Fuel[Year],0),HLOOKUP(Electrolysis!$E$8&amp;" - Grid",'Fuel Data'!$BB$2:$BX$3,2,FALSE)+2)=0,INDEX(Tb_Fuel[],MATCH(B29,Tb_Fuel[Year],0),HLOOKUP(Electrolysis!$E$8&amp;" - Grid",'Fuel Data'!$BB$2:$BX$3,2,FALSE)+1),INDEX(Tb_Fuel[],MATCH(B29,Tb_Fuel[Year],0),HLOOKUP(Electrolysis!$E$8&amp;" - Grid",'Fuel Data'!$BB$2:$BX$3,2,FALSE)+1))))),"")</f>
        <v>0.11</v>
      </c>
      <c r="E29" s="427">
        <f>IF(B29=Electrolysis!$E$9,0,IF(B29&lt;Electrolysis!$E$9,"",IF(B29&gt;Electrolysis!$D$26+Electrolysis!$E$9,"",IF(E28+Electrolysis!$D$50*8760&lt;Electrolysis!$D$33,E28+Electrolysis!$D$50*8760,E28+Electrolysis!$D$50*8760-Electrolysis!$D$33))))</f>
        <v>27708.756694724871</v>
      </c>
      <c r="F29" s="426">
        <f>IF(B29=Electrolysis!$E$9,Electrolysis!$D$52,IF(B29&lt;Electrolysis!$E$9,"",IF(B29&gt;Electrolysis!$D$26+Electrolysis!$E$9,"",0)))</f>
        <v>0</v>
      </c>
      <c r="G29" s="426">
        <f>IF(B29=Electrolysis!$E$9,0,IF(B29&lt;Electrolysis!$E$9,"",IF(B29&gt;Electrolysis!$D$26+Electrolysis!$E$9,"",Electrolysis!$D$52*Electrolysis!$D$24)))</f>
        <v>14.180314685664465</v>
      </c>
      <c r="H29" s="428">
        <f>IF(B29=Electrolysis!$E$9,0,IF(B29&lt;Electrolysis!$E$9,"",IF(B29&gt;Electrolysis!$D$26+Electrolysis!$E$9,"",IF(E29&lt;E28,Electrolysis!$D$23*Electrolysis!$D$32*(1+Electrolysis!$D$35)^((MIN(B29,2030)-2021)*LOG(1-Electrolysis!$D$36,2))*(Electrolysis!$J$4/1000)^((Electrolysis!$D$39-1)*EXP(-Electrolysis!$J$4/Electrolysis!$D$41)),0))))</f>
        <v>0</v>
      </c>
      <c r="I29" s="426">
        <f>IFERROR(IF(B29=Electrolysis!$E$9,0,IF(B29&lt;Electrolysis!$E$9,"",IF(B29&gt;Electrolysis!$D$26+Electrolysis!$E$9,"",IF(Electrolysis!$E$10="Grid",IF(ISBLANK(Electrolysis!$C$20),D29*Electrolysis!$D$50*8760,Electrolysis!$D$20*Electrolysis!$D$50*8760),0)))),"-")</f>
        <v>0</v>
      </c>
      <c r="J29" s="426">
        <f>IFERROR(IF(B29=Electrolysis!$E$9,0,IF(B29&lt;Electrolysis!$E$9,"",IF(B29&gt;Electrolysis!$D$26+Electrolysis!$E$9,"",Electrolysis!$D$43*Electrolysis!$D$44*O29))),"-")</f>
        <v>0</v>
      </c>
      <c r="K29" s="426">
        <f>IFERROR(IF(B29=Electrolysis!$E$9,0,IF(B29&lt;Electrolysis!$E$9,"",IF(B29&gt;Electrolysis!$D$26+Electrolysis!$E$9,"",-Electrolysis!$D$47*Electrolysis!$D$48*O29))),"-")</f>
        <v>0</v>
      </c>
      <c r="L29" s="426">
        <f>IF(B29=Electrolysis!$E$9,SUM(F29:K29),IF(B29&lt;Electrolysis!$E$9,"",IF(B29&gt;Electrolysis!$D$26+Electrolysis!$E$9,"",SUM(F29:K29))))</f>
        <v>14.180314685664465</v>
      </c>
      <c r="M29" s="426">
        <f>IF(B29=Electrolysis!$E$9,I29/(1+Electrolysis!$D$25)^C29,IF(B29&lt;Electrolysis!$E$9,"",IF(B29&gt;Electrolysis!$D$26+Electrolysis!$E$9,"",I29/(1+Electrolysis!$D$25)^C29)))</f>
        <v>0</v>
      </c>
      <c r="N29" s="426">
        <f>IF(B29=Electrolysis!$E$9,L29/(1+Electrolysis!$D$25)^C29,IF(B29&lt;Electrolysis!$E$9,"",IF(B29&gt;Electrolysis!$D$26+Electrolysis!$E$9,"",L29/(1+Electrolysis!$D$25)^C29)))</f>
        <v>3.2204742328949076</v>
      </c>
      <c r="O29" s="429">
        <f>IF(B29=Electrolysis!$E$9,0,IF(B29&lt;Electrolysis!$E$9,"",IF(B29&gt;Electrolysis!$D$26+Electrolysis!$E$9,"",IF(Electrolysis!$D$13="SOEC",'General values'!$C$3/('General values'!$C$3/(Electrolysis!$D$28-Electrolysis!$D$29*(E29+E28)/2/Electrolysis!$D$33)+'Prod Data'!$C$9/'Prod Data'!$C$10*(1-Electrolysis!$D$45))*Electrolysis!$D$50*8760/'General values'!$C$3,(Electrolysis!$D$28-Electrolysis!$D$29*(E29+E28)/2/Electrolysis!$D$33)*Electrolysis!$D$50*8760/'General values'!$C$3))))</f>
        <v>59.027430710441848</v>
      </c>
      <c r="P29" s="430">
        <f>IF(B29=Electrolysis!$E$9,O29/(1+Electrolysis!$D$25)^C29,IF(B29&lt;Electrolysis!$E$9,"",IF(B29&gt;Electrolysis!$D$26+Electrolysis!$E$9,"",O29/(1+Electrolysis!$D$25)^C29)))</f>
        <v>13.405648876688517</v>
      </c>
    </row>
    <row r="30" spans="2:19">
      <c r="B30" s="424">
        <v>2048</v>
      </c>
      <c r="C30" s="431" t="str">
        <f>IF(B30=Electrolysis!$E$9,B30-HOME!$A$9,IF(B30&lt;Electrolysis!$E$9,"",IF(B30&gt;Electrolysis!$D$26+Electrolysis!$E$9,"",B30-HOME!$A$9)))</f>
        <v/>
      </c>
      <c r="D30" s="426" t="str" cm="1">
        <f t="array" ref="D30">IFERROR(IF(B30=Electrolysis!$E$9,"",IF(B30&lt;Electrolysis!$E$9,"",IF(B30&gt;Electrolysis!$D$26+Electrolysis!$E$9,"",IF(INDEX(Tb_Fuel[],MATCH(B30,Tb_Fuel[Year],0),HLOOKUP(Electrolysis!$E$8&amp;" - Grid",'Fuel Data'!$BB$2:$BX$3,2,FALSE)+2)=0,INDEX(Tb_Fuel[],MATCH(B30,Tb_Fuel[Year],0),HLOOKUP(Electrolysis!$E$8&amp;" - Grid",'Fuel Data'!$BB$2:$BX$3,2,FALSE)+1),INDEX(Tb_Fuel[],MATCH(B30,Tb_Fuel[Year],0),HLOOKUP(Electrolysis!$E$8&amp;" - Grid",'Fuel Data'!$BB$2:$BX$3,2,FALSE)+1))))),"")</f>
        <v/>
      </c>
      <c r="E30" s="427" t="str">
        <f>IF(B30=Electrolysis!$E$9,0,IF(B30&lt;Electrolysis!$E$9,"",IF(B30&gt;Electrolysis!$D$26+Electrolysis!$E$9,"",IF(E29+Electrolysis!$D$50*8760&lt;Electrolysis!$D$33,E29+Electrolysis!$D$50*8760,E29+Electrolysis!$D$50*8760-Electrolysis!$D$33))))</f>
        <v/>
      </c>
      <c r="F30" s="426" t="str">
        <f>IF(B30=Electrolysis!$E$9,Electrolysis!$D$52,IF(B30&lt;Electrolysis!$E$9,"",IF(B30&gt;Electrolysis!$D$26+Electrolysis!$E$9,"",0)))</f>
        <v/>
      </c>
      <c r="G30" s="426" t="str">
        <f>IF(B30=Electrolysis!$E$9,0,IF(B30&lt;Electrolysis!$E$9,"",IF(B30&gt;Electrolysis!$D$26+Electrolysis!$E$9,"",Electrolysis!$D$52*Electrolysis!$D$24)))</f>
        <v/>
      </c>
      <c r="H30" s="428" t="str">
        <f>IF(B30=Electrolysis!$E$9,0,IF(B30&lt;Electrolysis!$E$9,"",IF(B30&gt;Electrolysis!$D$26+Electrolysis!$E$9,"",IF(E30&lt;E29,Electrolysis!$D$23*Electrolysis!$D$32*(1+Electrolysis!$D$35)^((MIN(B30,2030)-2021)*LOG(1-Electrolysis!$D$36,2))*(Electrolysis!$J$4/1000)^((Electrolysis!$D$39-1)*EXP(-Electrolysis!$J$4/Electrolysis!$D$41)),0))))</f>
        <v/>
      </c>
      <c r="I30" s="426" t="str">
        <f>IFERROR(IF(B30=Electrolysis!$E$9,0,IF(B30&lt;Electrolysis!$E$9,"",IF(B30&gt;Electrolysis!$D$26+Electrolysis!$E$9,"",IF(Electrolysis!$E$10="Grid",IF(ISBLANK(Electrolysis!$C$20),D30*Electrolysis!$D$50*8760,Electrolysis!$D$20*Electrolysis!$D$50*8760),0)))),"-")</f>
        <v/>
      </c>
      <c r="J30" s="426" t="str">
        <f>IFERROR(IF(B30=Electrolysis!$E$9,0,IF(B30&lt;Electrolysis!$E$9,"",IF(B30&gt;Electrolysis!$D$26+Electrolysis!$E$9,"",Electrolysis!$D$43*Electrolysis!$D$44*O30))),"-")</f>
        <v/>
      </c>
      <c r="K30" s="426" t="str">
        <f>IFERROR(IF(B30=Electrolysis!$E$9,0,IF(B30&lt;Electrolysis!$E$9,"",IF(B30&gt;Electrolysis!$D$26+Electrolysis!$E$9,"",-Electrolysis!$D$47*Electrolysis!$D$48*O30))),"-")</f>
        <v/>
      </c>
      <c r="L30" s="426" t="str">
        <f>IF(B30=Electrolysis!$E$9,SUM(F30:K30),IF(B30&lt;Electrolysis!$E$9,"",IF(B30&gt;Electrolysis!$D$26+Electrolysis!$E$9,"",SUM(F30:K30))))</f>
        <v/>
      </c>
      <c r="M30" s="426" t="str">
        <f>IF(B30=Electrolysis!$E$9,I30/(1+Electrolysis!$D$25)^C30,IF(B30&lt;Electrolysis!$E$9,"",IF(B30&gt;Electrolysis!$D$26+Electrolysis!$E$9,"",I30/(1+Electrolysis!$D$25)^C30)))</f>
        <v/>
      </c>
      <c r="N30" s="426" t="str">
        <f>IF(B30=Electrolysis!$E$9,L30/(1+Electrolysis!$D$25)^C30,IF(B30&lt;Electrolysis!$E$9,"",IF(B30&gt;Electrolysis!$D$26+Electrolysis!$E$9,"",L30/(1+Electrolysis!$D$25)^C30)))</f>
        <v/>
      </c>
      <c r="O30" s="429" t="str">
        <f>IF(B30=Electrolysis!$E$9,0,IF(B30&lt;Electrolysis!$E$9,"",IF(B30&gt;Electrolysis!$D$26+Electrolysis!$E$9,"",IF(Electrolysis!$D$13="SOEC",'General values'!$C$3/('General values'!$C$3/(Electrolysis!$D$28-Electrolysis!$D$29*(E30+E29)/2/Electrolysis!$D$33)+'Prod Data'!$C$9/'Prod Data'!$C$10*(1-Electrolysis!$D$45))*Electrolysis!$D$50*8760/'General values'!$C$3,(Electrolysis!$D$28-Electrolysis!$D$29*(E30+E29)/2/Electrolysis!$D$33)*Electrolysis!$D$50*8760/'General values'!$C$3))))</f>
        <v/>
      </c>
      <c r="P30" s="430" t="str">
        <f>IF(B30=Electrolysis!$E$9,O30/(1+Electrolysis!$D$25)^C30,IF(B30&lt;Electrolysis!$E$9,"",IF(B30&gt;Electrolysis!$D$26+Electrolysis!$E$9,"",O30/(1+Electrolysis!$D$25)^C30)))</f>
        <v/>
      </c>
    </row>
    <row r="31" spans="2:19">
      <c r="B31" s="424">
        <v>2049</v>
      </c>
      <c r="C31" s="431" t="str">
        <f>IF(B31=Electrolysis!$E$9,B31-HOME!$A$9,IF(B31&lt;Electrolysis!$E$9,"",IF(B31&gt;Electrolysis!$D$26+Electrolysis!$E$9,"",B31-HOME!$A$9)))</f>
        <v/>
      </c>
      <c r="D31" s="426" t="str" cm="1">
        <f t="array" ref="D31">IFERROR(IF(B31=Electrolysis!$E$9,"",IF(B31&lt;Electrolysis!$E$9,"",IF(B31&gt;Electrolysis!$D$26+Electrolysis!$E$9,"",IF(INDEX(Tb_Fuel[],MATCH(B31,Tb_Fuel[Year],0),HLOOKUP(Electrolysis!$E$8&amp;" - Grid",'Fuel Data'!$BB$2:$BX$3,2,FALSE)+2)=0,INDEX(Tb_Fuel[],MATCH(B31,Tb_Fuel[Year],0),HLOOKUP(Electrolysis!$E$8&amp;" - Grid",'Fuel Data'!$BB$2:$BX$3,2,FALSE)+1),INDEX(Tb_Fuel[],MATCH(B31,Tb_Fuel[Year],0),HLOOKUP(Electrolysis!$E$8&amp;" - Grid",'Fuel Data'!$BB$2:$BX$3,2,FALSE)+1))))),"")</f>
        <v/>
      </c>
      <c r="E31" s="427" t="str">
        <f>IF(B31=Electrolysis!$E$9,0,IF(B31&lt;Electrolysis!$E$9,"",IF(B31&gt;Electrolysis!$D$26+Electrolysis!$E$9,"",IF(E30+Electrolysis!$D$50*8760&lt;Electrolysis!$D$33,E30+Electrolysis!$D$50*8760,E30+Electrolysis!$D$50*8760-Electrolysis!$D$33))))</f>
        <v/>
      </c>
      <c r="F31" s="426" t="str">
        <f>IF(B31=Electrolysis!$E$9,Electrolysis!$D$52,IF(B31&lt;Electrolysis!$E$9,"",IF(B31&gt;Electrolysis!$D$26+Electrolysis!$E$9,"",0)))</f>
        <v/>
      </c>
      <c r="G31" s="426" t="str">
        <f>IF(B31=Electrolysis!$E$9,0,IF(B31&lt;Electrolysis!$E$9,"",IF(B31&gt;Electrolysis!$D$26+Electrolysis!$E$9,"",Electrolysis!$D$52*Electrolysis!$D$24)))</f>
        <v/>
      </c>
      <c r="H31" s="428" t="str">
        <f>IF(B31=Electrolysis!$E$9,0,IF(B31&lt;Electrolysis!$E$9,"",IF(B31&gt;Electrolysis!$D$26+Electrolysis!$E$9,"",IF(E31&lt;E30,Electrolysis!$D$23*Electrolysis!$D$32*(1+Electrolysis!$D$35)^((MIN(B31,2030)-2021)*LOG(1-Electrolysis!$D$36,2))*(Electrolysis!$J$4/1000)^((Electrolysis!$D$39-1)*EXP(-Electrolysis!$J$4/Electrolysis!$D$41)),0))))</f>
        <v/>
      </c>
      <c r="I31" s="426" t="str">
        <f>IFERROR(IF(B31=Electrolysis!$E$9,0,IF(B31&lt;Electrolysis!$E$9,"",IF(B31&gt;Electrolysis!$D$26+Electrolysis!$E$9,"",IF(Electrolysis!$E$10="Grid",IF(ISBLANK(Electrolysis!$C$20),D31*Electrolysis!$D$50*8760,Electrolysis!$D$20*Electrolysis!$D$50*8760),0)))),"-")</f>
        <v/>
      </c>
      <c r="J31" s="426" t="str">
        <f>IFERROR(IF(B31=Electrolysis!$E$9,0,IF(B31&lt;Electrolysis!$E$9,"",IF(B31&gt;Electrolysis!$D$26+Electrolysis!$E$9,"",Electrolysis!$D$43*Electrolysis!$D$44*O31))),"-")</f>
        <v/>
      </c>
      <c r="K31" s="426" t="str">
        <f>IFERROR(IF(B31=Electrolysis!$E$9,0,IF(B31&lt;Electrolysis!$E$9,"",IF(B31&gt;Electrolysis!$D$26+Electrolysis!$E$9,"",-Electrolysis!$D$47*Electrolysis!$D$48*O31))),"-")</f>
        <v/>
      </c>
      <c r="L31" s="426" t="str">
        <f>IF(B31=Electrolysis!$E$9,SUM(F31:K31),IF(B31&lt;Electrolysis!$E$9,"",IF(B31&gt;Electrolysis!$D$26+Electrolysis!$E$9,"",SUM(F31:K31))))</f>
        <v/>
      </c>
      <c r="M31" s="426" t="str">
        <f>IF(B31=Electrolysis!$E$9,I31/(1+Electrolysis!$D$25)^C31,IF(B31&lt;Electrolysis!$E$9,"",IF(B31&gt;Electrolysis!$D$26+Electrolysis!$E$9,"",I31/(1+Electrolysis!$D$25)^C31)))</f>
        <v/>
      </c>
      <c r="N31" s="426" t="str">
        <f>IF(B31=Electrolysis!$E$9,L31/(1+Electrolysis!$D$25)^C31,IF(B31&lt;Electrolysis!$E$9,"",IF(B31&gt;Electrolysis!$D$26+Electrolysis!$E$9,"",L31/(1+Electrolysis!$D$25)^C31)))</f>
        <v/>
      </c>
      <c r="O31" s="429" t="str">
        <f>IF(B31=Electrolysis!$E$9,0,IF(B31&lt;Electrolysis!$E$9,"",IF(B31&gt;Electrolysis!$D$26+Electrolysis!$E$9,"",IF(Electrolysis!$D$13="SOEC",'General values'!$C$3/('General values'!$C$3/(Electrolysis!$D$28-Electrolysis!$D$29*(E31+E30)/2/Electrolysis!$D$33)+'Prod Data'!$C$9/'Prod Data'!$C$10*(1-Electrolysis!$D$45))*Electrolysis!$D$50*8760/'General values'!$C$3,(Electrolysis!$D$28-Electrolysis!$D$29*(E31+E30)/2/Electrolysis!$D$33)*Electrolysis!$D$50*8760/'General values'!$C$3))))</f>
        <v/>
      </c>
      <c r="P31" s="430" t="str">
        <f>IF(B31=Electrolysis!$E$9,O31/(1+Electrolysis!$D$25)^C31,IF(B31&lt;Electrolysis!$E$9,"",IF(B31&gt;Electrolysis!$D$26+Electrolysis!$E$9,"",O31/(1+Electrolysis!$D$25)^C31)))</f>
        <v/>
      </c>
    </row>
    <row r="32" spans="2:19">
      <c r="B32" s="424">
        <v>2050</v>
      </c>
      <c r="C32" s="431" t="str">
        <f>IF(B32=Electrolysis!$E$9,B32-HOME!$A$9,IF(B32&lt;Electrolysis!$E$9,"",IF(B32&gt;Electrolysis!$D$26+Electrolysis!$E$9,"",B32-HOME!$A$9)))</f>
        <v/>
      </c>
      <c r="D32" s="426" t="str" cm="1">
        <f t="array" ref="D32">IFERROR(IF(B32=Electrolysis!$E$9,"",IF(B32&lt;Electrolysis!$E$9,"",IF(B32&gt;Electrolysis!$D$26+Electrolysis!$E$9,"",IF(INDEX(Tb_Fuel[],MATCH(B32,Tb_Fuel[Year],0),HLOOKUP(Electrolysis!$E$8&amp;" - Grid",'Fuel Data'!$BB$2:$BX$3,2,FALSE)+2)=0,INDEX(Tb_Fuel[],MATCH(B32,Tb_Fuel[Year],0),HLOOKUP(Electrolysis!$E$8&amp;" - Grid",'Fuel Data'!$BB$2:$BX$3,2,FALSE)+1),INDEX(Tb_Fuel[],MATCH(B32,Tb_Fuel[Year],0),HLOOKUP(Electrolysis!$E$8&amp;" - Grid",'Fuel Data'!$BB$2:$BX$3,2,FALSE)+1))))),"")</f>
        <v/>
      </c>
      <c r="E32" s="427" t="str">
        <f>IF(B32=Electrolysis!$E$9,0,IF(B32&lt;Electrolysis!$E$9,"",IF(B32&gt;Electrolysis!$D$26+Electrolysis!$E$9,"",IF(E31+Electrolysis!$D$50*8760&lt;Electrolysis!$D$33,E31+Electrolysis!$D$50*8760,E31+Electrolysis!$D$50*8760-Electrolysis!$D$33))))</f>
        <v/>
      </c>
      <c r="F32" s="426" t="str">
        <f>IF(B32=Electrolysis!$E$9,Electrolysis!$D$52,IF(B32&lt;Electrolysis!$E$9,"",IF(B32&gt;Electrolysis!$D$26+Electrolysis!$E$9,"",0)))</f>
        <v/>
      </c>
      <c r="G32" s="426" t="str">
        <f>IF(B32=Electrolysis!$E$9,0,IF(B32&lt;Electrolysis!$E$9,"",IF(B32&gt;Electrolysis!$D$26+Electrolysis!$E$9,"",Electrolysis!$D$52*Electrolysis!$D$24)))</f>
        <v/>
      </c>
      <c r="H32" s="428" t="str">
        <f>IF(B32=Electrolysis!$E$9,0,IF(B32&lt;Electrolysis!$E$9,"",IF(B32&gt;Electrolysis!$D$26+Electrolysis!$E$9,"",IF(E32&lt;E31,Electrolysis!$D$23*Electrolysis!$D$32*(1+Electrolysis!$D$35)^((MIN(B32,2030)-2021)*LOG(1-Electrolysis!$D$36,2))*(Electrolysis!$J$4/1000)^((Electrolysis!$D$39-1)*EXP(-Electrolysis!$J$4/Electrolysis!$D$41)),0))))</f>
        <v/>
      </c>
      <c r="I32" s="426" t="str">
        <f>IFERROR(IF(B32=Electrolysis!$E$9,0,IF(B32&lt;Electrolysis!$E$9,"",IF(B32&gt;Electrolysis!$D$26+Electrolysis!$E$9,"",IF(Electrolysis!$E$10="Grid",IF(ISBLANK(Electrolysis!$C$20),D32*Electrolysis!$D$50*8760,Electrolysis!$D$20*Electrolysis!$D$50*8760),0)))),"-")</f>
        <v/>
      </c>
      <c r="J32" s="426" t="str">
        <f>IFERROR(IF(B32=Electrolysis!$E$9,0,IF(B32&lt;Electrolysis!$E$9,"",IF(B32&gt;Electrolysis!$D$26+Electrolysis!$E$9,"",Electrolysis!$D$43*Electrolysis!$D$44*O32))),"-")</f>
        <v/>
      </c>
      <c r="K32" s="426" t="str">
        <f>IFERROR(IF(B32=Electrolysis!$E$9,0,IF(B32&lt;Electrolysis!$E$9,"",IF(B32&gt;Electrolysis!$D$26+Electrolysis!$E$9,"",-Electrolysis!$D$47*Electrolysis!$D$48*O32))),"-")</f>
        <v/>
      </c>
      <c r="L32" s="426" t="str">
        <f>IF(B32=Electrolysis!$E$9,SUM(F32:K32),IF(B32&lt;Electrolysis!$E$9,"",IF(B32&gt;Electrolysis!$D$26+Electrolysis!$E$9,"",SUM(F32:K32))))</f>
        <v/>
      </c>
      <c r="M32" s="426" t="str">
        <f>IF(B32=Electrolysis!$E$9,I32/(1+Electrolysis!$D$25)^C32,IF(B32&lt;Electrolysis!$E$9,"",IF(B32&gt;Electrolysis!$D$26+Electrolysis!$E$9,"",I32/(1+Electrolysis!$D$25)^C32)))</f>
        <v/>
      </c>
      <c r="N32" s="426" t="str">
        <f>IF(B32=Electrolysis!$E$9,L32/(1+Electrolysis!$D$25)^C32,IF(B32&lt;Electrolysis!$E$9,"",IF(B32&gt;Electrolysis!$D$26+Electrolysis!$E$9,"",L32/(1+Electrolysis!$D$25)^C32)))</f>
        <v/>
      </c>
      <c r="O32" s="429" t="str">
        <f>IF(B32=Electrolysis!$E$9,0,IF(B32&lt;Electrolysis!$E$9,"",IF(B32&gt;Electrolysis!$D$26+Electrolysis!$E$9,"",IF(Electrolysis!$D$13="SOEC",'General values'!$C$3/('General values'!$C$3/(Electrolysis!$D$28-Electrolysis!$D$29*(E32+E31)/2/Electrolysis!$D$33)+'Prod Data'!$C$9/'Prod Data'!$C$10*(1-Electrolysis!$D$45))*Electrolysis!$D$50*8760/'General values'!$C$3,(Electrolysis!$D$28-Electrolysis!$D$29*(E32+E31)/2/Electrolysis!$D$33)*Electrolysis!$D$50*8760/'General values'!$C$3))))</f>
        <v/>
      </c>
      <c r="P32" s="430" t="str">
        <f>IF(B32=Electrolysis!$E$9,O32/(1+Electrolysis!$D$25)^C32,IF(B32&lt;Electrolysis!$E$9,"",IF(B32&gt;Electrolysis!$D$26+Electrolysis!$E$9,"",O32/(1+Electrolysis!$D$25)^C32)))</f>
        <v/>
      </c>
    </row>
    <row r="33" spans="2:16">
      <c r="B33" s="424">
        <v>2051</v>
      </c>
      <c r="C33" s="431" t="str">
        <f>IF(B33=Electrolysis!$E$9,B33-HOME!$A$9,IF(B33&lt;Electrolysis!$E$9,"",IF(B33&gt;Electrolysis!$D$26+Electrolysis!$E$9,"",B33-HOME!$A$9)))</f>
        <v/>
      </c>
      <c r="D33" s="426" t="str" cm="1">
        <f t="array" ref="D33">IFERROR(IF(B33=Electrolysis!$E$9,"",IF(B33&lt;Electrolysis!$E$9,"",IF(B33&gt;Electrolysis!$D$26+Electrolysis!$E$9,"",IF(INDEX(Tb_Fuel[],MATCH(B33,Tb_Fuel[Year],0),HLOOKUP(Electrolysis!$E$8&amp;" - Grid",'Fuel Data'!$BB$2:$BX$3,2,FALSE)+2)=0,INDEX(Tb_Fuel[],MATCH(B33,Tb_Fuel[Year],0),HLOOKUP(Electrolysis!$E$8&amp;" - Grid",'Fuel Data'!$BB$2:$BX$3,2,FALSE)+1),INDEX(Tb_Fuel[],MATCH(B33,Tb_Fuel[Year],0),HLOOKUP(Electrolysis!$E$8&amp;" - Grid",'Fuel Data'!$BB$2:$BX$3,2,FALSE)+1))))),"")</f>
        <v/>
      </c>
      <c r="E33" s="427" t="str">
        <f>IF(B33=Electrolysis!$E$9,0,IF(B33&lt;Electrolysis!$E$9,"",IF(B33&gt;Electrolysis!$D$26+Electrolysis!$E$9,"",IF(E32+Electrolysis!$D$50*8760&lt;Electrolysis!$D$33,E32+Electrolysis!$D$50*8760,E32+Electrolysis!$D$50*8760-Electrolysis!$D$33))))</f>
        <v/>
      </c>
      <c r="F33" s="426" t="str">
        <f>IF(B33=Electrolysis!$E$9,Electrolysis!$D$52,IF(B33&lt;Electrolysis!$E$9,"",IF(B33&gt;Electrolysis!$D$26+Electrolysis!$E$9,"",0)))</f>
        <v/>
      </c>
      <c r="G33" s="426" t="str">
        <f>IF(B33=Electrolysis!$E$9,0,IF(B33&lt;Electrolysis!$E$9,"",IF(B33&gt;Electrolysis!$D$26+Electrolysis!$E$9,"",Electrolysis!$D$52*Electrolysis!$D$24)))</f>
        <v/>
      </c>
      <c r="H33" s="428" t="str">
        <f>IF(B33=Electrolysis!$E$9,0,IF(B33&lt;Electrolysis!$E$9,"",IF(B33&gt;Electrolysis!$D$26+Electrolysis!$E$9,"",IF(E33&lt;E32,Electrolysis!$D$23*Electrolysis!$D$32*(1+Electrolysis!$D$35)^((MIN(B33,2030)-2021)*LOG(1-Electrolysis!$D$36,2))*(Electrolysis!$J$4/1000)^((Electrolysis!$D$39-1)*EXP(-Electrolysis!$J$4/Electrolysis!$D$41)),0))))</f>
        <v/>
      </c>
      <c r="I33" s="426" t="str">
        <f>IFERROR(IF(B33=Electrolysis!$E$9,0,IF(B33&lt;Electrolysis!$E$9,"",IF(B33&gt;Electrolysis!$D$26+Electrolysis!$E$9,"",IF(Electrolysis!$E$10="Grid",IF(ISBLANK(Electrolysis!$C$20),D33*Electrolysis!$D$50*8760,Electrolysis!$D$20*Electrolysis!$D$50*8760),0)))),"-")</f>
        <v/>
      </c>
      <c r="J33" s="426" t="str">
        <f>IFERROR(IF(B33=Electrolysis!$E$9,0,IF(B33&lt;Electrolysis!$E$9,"",IF(B33&gt;Electrolysis!$D$26+Electrolysis!$E$9,"",Electrolysis!$D$43*Electrolysis!$D$44*O33))),"-")</f>
        <v/>
      </c>
      <c r="K33" s="426" t="str">
        <f>IFERROR(IF(B33=Electrolysis!$E$9,0,IF(B33&lt;Electrolysis!$E$9,"",IF(B33&gt;Electrolysis!$D$26+Electrolysis!$E$9,"",-Electrolysis!$D$47*Electrolysis!$D$48*O33))),"-")</f>
        <v/>
      </c>
      <c r="L33" s="426" t="str">
        <f>IF(B33=Electrolysis!$E$9,SUM(F33:K33),IF(B33&lt;Electrolysis!$E$9,"",IF(B33&gt;Electrolysis!$D$26+Electrolysis!$E$9,"",SUM(F33:K33))))</f>
        <v/>
      </c>
      <c r="M33" s="426" t="str">
        <f>IF(B33=Electrolysis!$E$9,I33/(1+Electrolysis!$D$25)^C33,IF(B33&lt;Electrolysis!$E$9,"",IF(B33&gt;Electrolysis!$D$26+Electrolysis!$E$9,"",I33/(1+Electrolysis!$D$25)^C33)))</f>
        <v/>
      </c>
      <c r="N33" s="426" t="str">
        <f>IF(B33=Electrolysis!$E$9,L33/(1+Electrolysis!$D$25)^C33,IF(B33&lt;Electrolysis!$E$9,"",IF(B33&gt;Electrolysis!$D$26+Electrolysis!$E$9,"",L33/(1+Electrolysis!$D$25)^C33)))</f>
        <v/>
      </c>
      <c r="O33" s="429" t="str">
        <f>IF(B33=Electrolysis!$E$9,0,IF(B33&lt;Electrolysis!$E$9,"",IF(B33&gt;Electrolysis!$D$26+Electrolysis!$E$9,"",IF(Electrolysis!$D$13="SOEC",'General values'!$C$3/('General values'!$C$3/(Electrolysis!$D$28-Electrolysis!$D$29*(E33+E32)/2/Electrolysis!$D$33)+'Prod Data'!$C$9/'Prod Data'!$C$10*(1-Electrolysis!$D$45))*Electrolysis!$D$50*8760/'General values'!$C$3,(Electrolysis!$D$28-Electrolysis!$D$29*(E33+E32)/2/Electrolysis!$D$33)*Electrolysis!$D$50*8760/'General values'!$C$3))))</f>
        <v/>
      </c>
      <c r="P33" s="430" t="str">
        <f>IF(B33=Electrolysis!$E$9,O33/(1+Electrolysis!$D$25)^C33,IF(B33&lt;Electrolysis!$E$9,"",IF(B33&gt;Electrolysis!$D$26+Electrolysis!$E$9,"",O33/(1+Electrolysis!$D$25)^C33)))</f>
        <v/>
      </c>
    </row>
    <row r="34" spans="2:16">
      <c r="B34" s="424">
        <v>2052</v>
      </c>
      <c r="C34" s="431" t="str">
        <f>IF(B34=Electrolysis!$E$9,B34-HOME!$A$9,IF(B34&lt;Electrolysis!$E$9,"",IF(B34&gt;Electrolysis!$D$26+Electrolysis!$E$9,"",B34-HOME!$A$9)))</f>
        <v/>
      </c>
      <c r="D34" s="426" t="str" cm="1">
        <f t="array" ref="D34">IFERROR(IF(B34=Electrolysis!$E$9,"",IF(B34&lt;Electrolysis!$E$9,"",IF(B34&gt;Electrolysis!$D$26+Electrolysis!$E$9,"",IF(INDEX(Tb_Fuel[],MATCH(B34,Tb_Fuel[Year],0),HLOOKUP(Electrolysis!$E$8&amp;" - Grid",'Fuel Data'!$BB$2:$BX$3,2,FALSE)+2)=0,INDEX(Tb_Fuel[],MATCH(B34,Tb_Fuel[Year],0),HLOOKUP(Electrolysis!$E$8&amp;" - Grid",'Fuel Data'!$BB$2:$BX$3,2,FALSE)+1),INDEX(Tb_Fuel[],MATCH(B34,Tb_Fuel[Year],0),HLOOKUP(Electrolysis!$E$8&amp;" - Grid",'Fuel Data'!$BB$2:$BX$3,2,FALSE)+1))))),"")</f>
        <v/>
      </c>
      <c r="E34" s="427" t="str">
        <f>IF(B34=Electrolysis!$E$9,0,IF(B34&lt;Electrolysis!$E$9,"",IF(B34&gt;Electrolysis!$D$26+Electrolysis!$E$9,"",IF(E33+Electrolysis!$D$50*8760&lt;Electrolysis!$D$33,E33+Electrolysis!$D$50*8760,E33+Electrolysis!$D$50*8760-Electrolysis!$D$33))))</f>
        <v/>
      </c>
      <c r="F34" s="426" t="str">
        <f>IF(B34=Electrolysis!$E$9,Electrolysis!$D$52,IF(B34&lt;Electrolysis!$E$9,"",IF(B34&gt;Electrolysis!$D$26+Electrolysis!$E$9,"",0)))</f>
        <v/>
      </c>
      <c r="G34" s="426" t="str">
        <f>IF(B34=Electrolysis!$E$9,0,IF(B34&lt;Electrolysis!$E$9,"",IF(B34&gt;Electrolysis!$D$26+Electrolysis!$E$9,"",Electrolysis!$D$52*Electrolysis!$D$24)))</f>
        <v/>
      </c>
      <c r="H34" s="428" t="str">
        <f>IF(B34=Electrolysis!$E$9,0,IF(B34&lt;Electrolysis!$E$9,"",IF(B34&gt;Electrolysis!$D$26+Electrolysis!$E$9,"",IF(E34&lt;E33,Electrolysis!$D$23*Electrolysis!$D$32*(1+Electrolysis!$D$35)^((MIN(B34,2030)-2021)*LOG(1-Electrolysis!$D$36,2))*(Electrolysis!$J$4/1000)^((Electrolysis!$D$39-1)*EXP(-Electrolysis!$J$4/Electrolysis!$D$41)),0))))</f>
        <v/>
      </c>
      <c r="I34" s="426" t="str">
        <f>IFERROR(IF(B34=Electrolysis!$E$9,0,IF(B34&lt;Electrolysis!$E$9,"",IF(B34&gt;Electrolysis!$D$26+Electrolysis!$E$9,"",IF(Electrolysis!$E$10="Grid",IF(ISBLANK(Electrolysis!$C$20),D34*Electrolysis!$D$50*8760,Electrolysis!$D$20*Electrolysis!$D$50*8760),0)))),"-")</f>
        <v/>
      </c>
      <c r="J34" s="426" t="str">
        <f>IFERROR(IF(B34=Electrolysis!$E$9,0,IF(B34&lt;Electrolysis!$E$9,"",IF(B34&gt;Electrolysis!$D$26+Electrolysis!$E$9,"",Electrolysis!$D$43*Electrolysis!$D$44*O34))),"-")</f>
        <v/>
      </c>
      <c r="K34" s="426" t="str">
        <f>IFERROR(IF(B34=Electrolysis!$E$9,0,IF(B34&lt;Electrolysis!$E$9,"",IF(B34&gt;Electrolysis!$D$26+Electrolysis!$E$9,"",-Electrolysis!$D$47*Electrolysis!$D$48*O34))),"-")</f>
        <v/>
      </c>
      <c r="L34" s="426" t="str">
        <f>IF(B34=Electrolysis!$E$9,SUM(F34:K34),IF(B34&lt;Electrolysis!$E$9,"",IF(B34&gt;Electrolysis!$D$26+Electrolysis!$E$9,"",SUM(F34:K34))))</f>
        <v/>
      </c>
      <c r="M34" s="426" t="str">
        <f>IF(B34=Electrolysis!$E$9,I34/(1+Electrolysis!$D$25)^C34,IF(B34&lt;Electrolysis!$E$9,"",IF(B34&gt;Electrolysis!$D$26+Electrolysis!$E$9,"",I34/(1+Electrolysis!$D$25)^C34)))</f>
        <v/>
      </c>
      <c r="N34" s="426" t="str">
        <f>IF(B34=Electrolysis!$E$9,L34/(1+Electrolysis!$D$25)^C34,IF(B34&lt;Electrolysis!$E$9,"",IF(B34&gt;Electrolysis!$D$26+Electrolysis!$E$9,"",L34/(1+Electrolysis!$D$25)^C34)))</f>
        <v/>
      </c>
      <c r="O34" s="429" t="str">
        <f>IF(B34=Electrolysis!$E$9,0,IF(B34&lt;Electrolysis!$E$9,"",IF(B34&gt;Electrolysis!$D$26+Electrolysis!$E$9,"",IF(Electrolysis!$D$13="SOEC",'General values'!$C$3/('General values'!$C$3/(Electrolysis!$D$28-Electrolysis!$D$29*(E34+E33)/2/Electrolysis!$D$33)+'Prod Data'!$C$9/'Prod Data'!$C$10*(1-Electrolysis!$D$45))*Electrolysis!$D$50*8760/'General values'!$C$3,(Electrolysis!$D$28-Electrolysis!$D$29*(E34+E33)/2/Electrolysis!$D$33)*Electrolysis!$D$50*8760/'General values'!$C$3))))</f>
        <v/>
      </c>
      <c r="P34" s="430" t="str">
        <f>IF(B34=Electrolysis!$E$9,O34/(1+Electrolysis!$D$25)^C34,IF(B34&lt;Electrolysis!$E$9,"",IF(B34&gt;Electrolysis!$D$26+Electrolysis!$E$9,"",O34/(1+Electrolysis!$D$25)^C34)))</f>
        <v/>
      </c>
    </row>
    <row r="35" spans="2:16">
      <c r="B35" s="424">
        <v>2053</v>
      </c>
      <c r="C35" s="431" t="str">
        <f>IF(B35=Electrolysis!$E$9,B35-HOME!$A$9,IF(B35&lt;Electrolysis!$E$9,"",IF(B35&gt;Electrolysis!$D$26+Electrolysis!$E$9,"",B35-HOME!$A$9)))</f>
        <v/>
      </c>
      <c r="D35" s="426" t="str" cm="1">
        <f t="array" ref="D35">IFERROR(IF(B35=Electrolysis!$E$9,"",IF(B35&lt;Electrolysis!$E$9,"",IF(B35&gt;Electrolysis!$D$26+Electrolysis!$E$9,"",IF(INDEX(Tb_Fuel[],MATCH(B35,Tb_Fuel[Year],0),HLOOKUP(Electrolysis!$E$8&amp;" - Grid",'Fuel Data'!$BB$2:$BX$3,2,FALSE)+2)=0,INDEX(Tb_Fuel[],MATCH(B35,Tb_Fuel[Year],0),HLOOKUP(Electrolysis!$E$8&amp;" - Grid",'Fuel Data'!$BB$2:$BX$3,2,FALSE)+1),INDEX(Tb_Fuel[],MATCH(B35,Tb_Fuel[Year],0),HLOOKUP(Electrolysis!$E$8&amp;" - Grid",'Fuel Data'!$BB$2:$BX$3,2,FALSE)+1))))),"")</f>
        <v/>
      </c>
      <c r="E35" s="427" t="str">
        <f>IF(B35=Electrolysis!$E$9,0,IF(B35&lt;Electrolysis!$E$9,"",IF(B35&gt;Electrolysis!$D$26+Electrolysis!$E$9,"",IF(E34+Electrolysis!$D$50*8760&lt;Electrolysis!$D$33,E34+Electrolysis!$D$50*8760,E34+Electrolysis!$D$50*8760-Electrolysis!$D$33))))</f>
        <v/>
      </c>
      <c r="F35" s="426" t="str">
        <f>IF(B35=Electrolysis!$E$9,Electrolysis!$D$52,IF(B35&lt;Electrolysis!$E$9,"",IF(B35&gt;Electrolysis!$D$26+Electrolysis!$E$9,"",0)))</f>
        <v/>
      </c>
      <c r="G35" s="426" t="str">
        <f>IF(B35=Electrolysis!$E$9,0,IF(B35&lt;Electrolysis!$E$9,"",IF(B35&gt;Electrolysis!$D$26+Electrolysis!$E$9,"",Electrolysis!$D$52*Electrolysis!$D$24)))</f>
        <v/>
      </c>
      <c r="H35" s="428" t="str">
        <f>IF(B35=Electrolysis!$E$9,0,IF(B35&lt;Electrolysis!$E$9,"",IF(B35&gt;Electrolysis!$D$26+Electrolysis!$E$9,"",IF(E35&lt;E34,Electrolysis!$D$23*Electrolysis!$D$32*(1+Electrolysis!$D$35)^((MIN(B35,2030)-2021)*LOG(1-Electrolysis!$D$36,2))*(Electrolysis!$J$4/1000)^((Electrolysis!$D$39-1)*EXP(-Electrolysis!$J$4/Electrolysis!$D$41)),0))))</f>
        <v/>
      </c>
      <c r="I35" s="426" t="str">
        <f>IFERROR(IF(B35=Electrolysis!$E$9,0,IF(B35&lt;Electrolysis!$E$9,"",IF(B35&gt;Electrolysis!$D$26+Electrolysis!$E$9,"",IF(Electrolysis!$E$10="Grid",IF(ISBLANK(Electrolysis!$C$20),D35*Electrolysis!$D$50*8760,Electrolysis!$D$20*Electrolysis!$D$50*8760),0)))),"-")</f>
        <v/>
      </c>
      <c r="J35" s="426" t="str">
        <f>IFERROR(IF(B35=Electrolysis!$E$9,0,IF(B35&lt;Electrolysis!$E$9,"",IF(B35&gt;Electrolysis!$D$26+Electrolysis!$E$9,"",Electrolysis!$D$43*Electrolysis!$D$44*O35))),"-")</f>
        <v/>
      </c>
      <c r="K35" s="426" t="str">
        <f>IFERROR(IF(B35=Electrolysis!$E$9,0,IF(B35&lt;Electrolysis!$E$9,"",IF(B35&gt;Electrolysis!$D$26+Electrolysis!$E$9,"",-Electrolysis!$D$47*Electrolysis!$D$48*O35))),"-")</f>
        <v/>
      </c>
      <c r="L35" s="426" t="str">
        <f>IF(B35=Electrolysis!$E$9,SUM(F35:K35),IF(B35&lt;Electrolysis!$E$9,"",IF(B35&gt;Electrolysis!$D$26+Electrolysis!$E$9,"",SUM(F35:K35))))</f>
        <v/>
      </c>
      <c r="M35" s="426" t="str">
        <f>IF(B35=Electrolysis!$E$9,I35/(1+Electrolysis!$D$25)^C35,IF(B35&lt;Electrolysis!$E$9,"",IF(B35&gt;Electrolysis!$D$26+Electrolysis!$E$9,"",I35/(1+Electrolysis!$D$25)^C35)))</f>
        <v/>
      </c>
      <c r="N35" s="426" t="str">
        <f>IF(B35=Electrolysis!$E$9,L35/(1+Electrolysis!$D$25)^C35,IF(B35&lt;Electrolysis!$E$9,"",IF(B35&gt;Electrolysis!$D$26+Electrolysis!$E$9,"",L35/(1+Electrolysis!$D$25)^C35)))</f>
        <v/>
      </c>
      <c r="O35" s="429" t="str">
        <f>IF(B35=Electrolysis!$E$9,0,IF(B35&lt;Electrolysis!$E$9,"",IF(B35&gt;Electrolysis!$D$26+Electrolysis!$E$9,"",IF(Electrolysis!$D$13="SOEC",'General values'!$C$3/('General values'!$C$3/(Electrolysis!$D$28-Electrolysis!$D$29*(E35+E34)/2/Electrolysis!$D$33)+'Prod Data'!$C$9/'Prod Data'!$C$10*(1-Electrolysis!$D$45))*Electrolysis!$D$50*8760/'General values'!$C$3,(Electrolysis!$D$28-Electrolysis!$D$29*(E35+E34)/2/Electrolysis!$D$33)*Electrolysis!$D$50*8760/'General values'!$C$3))))</f>
        <v/>
      </c>
      <c r="P35" s="430" t="str">
        <f>IF(B35=Electrolysis!$E$9,O35/(1+Electrolysis!$D$25)^C35,IF(B35&lt;Electrolysis!$E$9,"",IF(B35&gt;Electrolysis!$D$26+Electrolysis!$E$9,"",O35/(1+Electrolysis!$D$25)^C35)))</f>
        <v/>
      </c>
    </row>
    <row r="36" spans="2:16">
      <c r="B36" s="424">
        <v>2054</v>
      </c>
      <c r="C36" s="431" t="str">
        <f>IF(B36=Electrolysis!$E$9,B36-HOME!$A$9,IF(B36&lt;Electrolysis!$E$9,"",IF(B36&gt;Electrolysis!$D$26+Electrolysis!$E$9,"",B36-HOME!$A$9)))</f>
        <v/>
      </c>
      <c r="D36" s="426" t="str" cm="1">
        <f t="array" ref="D36">IFERROR(IF(B36=Electrolysis!$E$9,"",IF(B36&lt;Electrolysis!$E$9,"",IF(B36&gt;Electrolysis!$D$26+Electrolysis!$E$9,"",IF(INDEX(Tb_Fuel[],MATCH(B36,Tb_Fuel[Year],0),HLOOKUP(Electrolysis!$E$8&amp;" - Grid",'Fuel Data'!$BB$2:$BX$3,2,FALSE)+2)=0,INDEX(Tb_Fuel[],MATCH(B36,Tb_Fuel[Year],0),HLOOKUP(Electrolysis!$E$8&amp;" - Grid",'Fuel Data'!$BB$2:$BX$3,2,FALSE)+1),INDEX(Tb_Fuel[],MATCH(B36,Tb_Fuel[Year],0),HLOOKUP(Electrolysis!$E$8&amp;" - Grid",'Fuel Data'!$BB$2:$BX$3,2,FALSE)+1))))),"")</f>
        <v/>
      </c>
      <c r="E36" s="427" t="str">
        <f>IF(B36=Electrolysis!$E$9,0,IF(B36&lt;Electrolysis!$E$9,"",IF(B36&gt;Electrolysis!$D$26+Electrolysis!$E$9,"",IF(E35+Electrolysis!$D$50*8760&lt;Electrolysis!$D$33,E35+Electrolysis!$D$50*8760,E35+Electrolysis!$D$50*8760-Electrolysis!$D$33))))</f>
        <v/>
      </c>
      <c r="F36" s="426" t="str">
        <f>IF(B36=Electrolysis!$E$9,Electrolysis!$D$52,IF(B36&lt;Electrolysis!$E$9,"",IF(B36&gt;Electrolysis!$D$26+Electrolysis!$E$9,"",0)))</f>
        <v/>
      </c>
      <c r="G36" s="426" t="str">
        <f>IF(B36=Electrolysis!$E$9,0,IF(B36&lt;Electrolysis!$E$9,"",IF(B36&gt;Electrolysis!$D$26+Electrolysis!$E$9,"",Electrolysis!$D$52*Electrolysis!$D$24)))</f>
        <v/>
      </c>
      <c r="H36" s="428" t="str">
        <f>IF(B36=Electrolysis!$E$9,0,IF(B36&lt;Electrolysis!$E$9,"",IF(B36&gt;Electrolysis!$D$26+Electrolysis!$E$9,"",IF(E36&lt;E35,Electrolysis!$D$23*Electrolysis!$D$32*(1+Electrolysis!$D$35)^((MIN(B36,2030)-2021)*LOG(1-Electrolysis!$D$36,2))*(Electrolysis!$J$4/1000)^((Electrolysis!$D$39-1)*EXP(-Electrolysis!$J$4/Electrolysis!$D$41)),0))))</f>
        <v/>
      </c>
      <c r="I36" s="426" t="str">
        <f>IFERROR(IF(B36=Electrolysis!$E$9,0,IF(B36&lt;Electrolysis!$E$9,"",IF(B36&gt;Electrolysis!$D$26+Electrolysis!$E$9,"",IF(Electrolysis!$E$10="Grid",IF(ISBLANK(Electrolysis!$C$20),D36*Electrolysis!$D$50*8760,Electrolysis!$D$20*Electrolysis!$D$50*8760),0)))),"-")</f>
        <v/>
      </c>
      <c r="J36" s="426" t="str">
        <f>IFERROR(IF(B36=Electrolysis!$E$9,0,IF(B36&lt;Electrolysis!$E$9,"",IF(B36&gt;Electrolysis!$D$26+Electrolysis!$E$9,"",Electrolysis!$D$43*Electrolysis!$D$44*O36))),"-")</f>
        <v/>
      </c>
      <c r="K36" s="426" t="str">
        <f>IFERROR(IF(B36=Electrolysis!$E$9,0,IF(B36&lt;Electrolysis!$E$9,"",IF(B36&gt;Electrolysis!$D$26+Electrolysis!$E$9,"",-Electrolysis!$D$47*Electrolysis!$D$48*O36))),"-")</f>
        <v/>
      </c>
      <c r="L36" s="426" t="str">
        <f>IF(B36=Electrolysis!$E$9,SUM(F36:K36),IF(B36&lt;Electrolysis!$E$9,"",IF(B36&gt;Electrolysis!$D$26+Electrolysis!$E$9,"",SUM(F36:K36))))</f>
        <v/>
      </c>
      <c r="M36" s="426" t="str">
        <f>IF(B36=Electrolysis!$E$9,I36/(1+Electrolysis!$D$25)^C36,IF(B36&lt;Electrolysis!$E$9,"",IF(B36&gt;Electrolysis!$D$26+Electrolysis!$E$9,"",I36/(1+Electrolysis!$D$25)^C36)))</f>
        <v/>
      </c>
      <c r="N36" s="426" t="str">
        <f>IF(B36=Electrolysis!$E$9,L36/(1+Electrolysis!$D$25)^C36,IF(B36&lt;Electrolysis!$E$9,"",IF(B36&gt;Electrolysis!$D$26+Electrolysis!$E$9,"",L36/(1+Electrolysis!$D$25)^C36)))</f>
        <v/>
      </c>
      <c r="O36" s="429" t="str">
        <f>IF(B36=Electrolysis!$E$9,0,IF(B36&lt;Electrolysis!$E$9,"",IF(B36&gt;Electrolysis!$D$26+Electrolysis!$E$9,"",IF(Electrolysis!$D$13="SOEC",'General values'!$C$3/('General values'!$C$3/(Electrolysis!$D$28-Electrolysis!$D$29*(E36+E35)/2/Electrolysis!$D$33)+'Prod Data'!$C$9/'Prod Data'!$C$10*(1-Electrolysis!$D$45))*Electrolysis!$D$50*8760/'General values'!$C$3,(Electrolysis!$D$28-Electrolysis!$D$29*(E36+E35)/2/Electrolysis!$D$33)*Electrolysis!$D$50*8760/'General values'!$C$3))))</f>
        <v/>
      </c>
      <c r="P36" s="430" t="str">
        <f>IF(B36=Electrolysis!$E$9,O36/(1+Electrolysis!$D$25)^C36,IF(B36&lt;Electrolysis!$E$9,"",IF(B36&gt;Electrolysis!$D$26+Electrolysis!$E$9,"",O36/(1+Electrolysis!$D$25)^C36)))</f>
        <v/>
      </c>
    </row>
    <row r="37" spans="2:16">
      <c r="B37" s="424">
        <v>2055</v>
      </c>
      <c r="C37" s="431" t="str">
        <f>IF(B37=Electrolysis!$E$9,B37-HOME!$A$9,IF(B37&lt;Electrolysis!$E$9,"",IF(B37&gt;Electrolysis!$D$26+Electrolysis!$E$9,"",B37-HOME!$A$9)))</f>
        <v/>
      </c>
      <c r="D37" s="426" t="str" cm="1">
        <f t="array" ref="D37">IFERROR(IF(B37=Electrolysis!$E$9,"",IF(B37&lt;Electrolysis!$E$9,"",IF(B37&gt;Electrolysis!$D$26+Electrolysis!$E$9,"",IF(INDEX(Tb_Fuel[],MATCH(B37,Tb_Fuel[Year],0),HLOOKUP(Electrolysis!$E$8&amp;" - Grid",'Fuel Data'!$BB$2:$BX$3,2,FALSE)+2)=0,INDEX(Tb_Fuel[],MATCH(B37,Tb_Fuel[Year],0),HLOOKUP(Electrolysis!$E$8&amp;" - Grid",'Fuel Data'!$BB$2:$BX$3,2,FALSE)+1),INDEX(Tb_Fuel[],MATCH(B37,Tb_Fuel[Year],0),HLOOKUP(Electrolysis!$E$8&amp;" - Grid",'Fuel Data'!$BB$2:$BX$3,2,FALSE)+1))))),"")</f>
        <v/>
      </c>
      <c r="E37" s="427" t="str">
        <f>IF(B37=Electrolysis!$E$9,0,IF(B37&lt;Electrolysis!$E$9,"",IF(B37&gt;Electrolysis!$D$26+Electrolysis!$E$9,"",IF(E36+Electrolysis!$D$50*8760&lt;Electrolysis!$D$33,E36+Electrolysis!$D$50*8760,E36+Electrolysis!$D$50*8760-Electrolysis!$D$33))))</f>
        <v/>
      </c>
      <c r="F37" s="426" t="str">
        <f>IF(B37=Electrolysis!$E$9,Electrolysis!$D$52,IF(B37&lt;Electrolysis!$E$9,"",IF(B37&gt;Electrolysis!$D$26+Electrolysis!$E$9,"",0)))</f>
        <v/>
      </c>
      <c r="G37" s="426" t="str">
        <f>IF(B37=Electrolysis!$E$9,0,IF(B37&lt;Electrolysis!$E$9,"",IF(B37&gt;Electrolysis!$D$26+Electrolysis!$E$9,"",Electrolysis!$D$52*Electrolysis!$D$24)))</f>
        <v/>
      </c>
      <c r="H37" s="428" t="str">
        <f>IF(B37=Electrolysis!$E$9,0,IF(B37&lt;Electrolysis!$E$9,"",IF(B37&gt;Electrolysis!$D$26+Electrolysis!$E$9,"",IF(E37&lt;E36,Electrolysis!$D$23*Electrolysis!$D$32*(1+Electrolysis!$D$35)^((MIN(B37,2030)-2021)*LOG(1-Electrolysis!$D$36,2))*(Electrolysis!$J$4/1000)^((Electrolysis!$D$39-1)*EXP(-Electrolysis!$J$4/Electrolysis!$D$41)),0))))</f>
        <v/>
      </c>
      <c r="I37" s="426" t="str">
        <f>IFERROR(IF(B37=Electrolysis!$E$9,0,IF(B37&lt;Electrolysis!$E$9,"",IF(B37&gt;Electrolysis!$D$26+Electrolysis!$E$9,"",IF(Electrolysis!$E$10="Grid",IF(ISBLANK(Electrolysis!$C$20),D37*Electrolysis!$D$50*8760,Electrolysis!$D$20*Electrolysis!$D$50*8760),0)))),"-")</f>
        <v/>
      </c>
      <c r="J37" s="426" t="str">
        <f>IFERROR(IF(B37=Electrolysis!$E$9,0,IF(B37&lt;Electrolysis!$E$9,"",IF(B37&gt;Electrolysis!$D$26+Electrolysis!$E$9,"",Electrolysis!$D$43*Electrolysis!$D$44*O37))),"-")</f>
        <v/>
      </c>
      <c r="K37" s="426" t="str">
        <f>IFERROR(IF(B37=Electrolysis!$E$9,0,IF(B37&lt;Electrolysis!$E$9,"",IF(B37&gt;Electrolysis!$D$26+Electrolysis!$E$9,"",-Electrolysis!$D$47*Electrolysis!$D$48*O37))),"-")</f>
        <v/>
      </c>
      <c r="L37" s="426" t="str">
        <f>IF(B37=Electrolysis!$E$9,SUM(F37:K37),IF(B37&lt;Electrolysis!$E$9,"",IF(B37&gt;Electrolysis!$D$26+Electrolysis!$E$9,"",SUM(F37:K37))))</f>
        <v/>
      </c>
      <c r="M37" s="426" t="str">
        <f>IF(B37=Electrolysis!$E$9,I37/(1+Electrolysis!$D$25)^C37,IF(B37&lt;Electrolysis!$E$9,"",IF(B37&gt;Electrolysis!$D$26+Electrolysis!$E$9,"",I37/(1+Electrolysis!$D$25)^C37)))</f>
        <v/>
      </c>
      <c r="N37" s="426" t="str">
        <f>IF(B37=Electrolysis!$E$9,L37/(1+Electrolysis!$D$25)^C37,IF(B37&lt;Electrolysis!$E$9,"",IF(B37&gt;Electrolysis!$D$26+Electrolysis!$E$9,"",L37/(1+Electrolysis!$D$25)^C37)))</f>
        <v/>
      </c>
      <c r="O37" s="429" t="str">
        <f>IF(B37=Electrolysis!$E$9,0,IF(B37&lt;Electrolysis!$E$9,"",IF(B37&gt;Electrolysis!$D$26+Electrolysis!$E$9,"",IF(Electrolysis!$D$13="SOEC",'General values'!$C$3/('General values'!$C$3/(Electrolysis!$D$28-Electrolysis!$D$29*(E37+E36)/2/Electrolysis!$D$33)+'Prod Data'!$C$9/'Prod Data'!$C$10*(1-Electrolysis!$D$45))*Electrolysis!$D$50*8760/'General values'!$C$3,(Electrolysis!$D$28-Electrolysis!$D$29*(E37+E36)/2/Electrolysis!$D$33)*Electrolysis!$D$50*8760/'General values'!$C$3))))</f>
        <v/>
      </c>
      <c r="P37" s="430" t="str">
        <f>IF(B37=Electrolysis!$E$9,O37/(1+Electrolysis!$D$25)^C37,IF(B37&lt;Electrolysis!$E$9,"",IF(B37&gt;Electrolysis!$D$26+Electrolysis!$E$9,"",O37/(1+Electrolysis!$D$25)^C37)))</f>
        <v/>
      </c>
    </row>
    <row r="38" spans="2:16">
      <c r="B38" s="424">
        <v>2056</v>
      </c>
      <c r="C38" s="431" t="str">
        <f>IF(B38=Electrolysis!$E$9,B38-HOME!$A$9,IF(B38&lt;Electrolysis!$E$9,"",IF(B38&gt;Electrolysis!$D$26+Electrolysis!$E$9,"",B38-HOME!$A$9)))</f>
        <v/>
      </c>
      <c r="D38" s="426" t="str" cm="1">
        <f t="array" ref="D38">IFERROR(IF(B38=Electrolysis!$E$9,"",IF(B38&lt;Electrolysis!$E$9,"",IF(B38&gt;Electrolysis!$D$26+Electrolysis!$E$9,"",IF(INDEX(Tb_Fuel[],MATCH(B38,Tb_Fuel[Year],0),HLOOKUP(Electrolysis!$E$8&amp;" - Grid",'Fuel Data'!$BB$2:$BX$3,2,FALSE)+2)=0,INDEX(Tb_Fuel[],MATCH(B38,Tb_Fuel[Year],0),HLOOKUP(Electrolysis!$E$8&amp;" - Grid",'Fuel Data'!$BB$2:$BX$3,2,FALSE)+1),INDEX(Tb_Fuel[],MATCH(B38,Tb_Fuel[Year],0),HLOOKUP(Electrolysis!$E$8&amp;" - Grid",'Fuel Data'!$BB$2:$BX$3,2,FALSE)+1))))),"")</f>
        <v/>
      </c>
      <c r="E38" s="427" t="str">
        <f>IF(B38=Electrolysis!$E$9,0,IF(B38&lt;Electrolysis!$E$9,"",IF(B38&gt;Electrolysis!$D$26+Electrolysis!$E$9,"",IF(E37+Electrolysis!$D$50*8760&lt;Electrolysis!$D$33,E37+Electrolysis!$D$50*8760,E37+Electrolysis!$D$50*8760-Electrolysis!$D$33))))</f>
        <v/>
      </c>
      <c r="F38" s="426" t="str">
        <f>IF(B38=Electrolysis!$E$9,Electrolysis!$D$52,IF(B38&lt;Electrolysis!$E$9,"",IF(B38&gt;Electrolysis!$D$26+Electrolysis!$E$9,"",0)))</f>
        <v/>
      </c>
      <c r="G38" s="426" t="str">
        <f>IF(B38=Electrolysis!$E$9,0,IF(B38&lt;Electrolysis!$E$9,"",IF(B38&gt;Electrolysis!$D$26+Electrolysis!$E$9,"",Electrolysis!$D$52*Electrolysis!$D$24)))</f>
        <v/>
      </c>
      <c r="H38" s="428" t="str">
        <f>IF(B38=Electrolysis!$E$9,0,IF(B38&lt;Electrolysis!$E$9,"",IF(B38&gt;Electrolysis!$D$26+Electrolysis!$E$9,"",IF(E38&lt;E37,Electrolysis!$D$23*Electrolysis!$D$32*(1+Electrolysis!$D$35)^((MIN(B38,2030)-2021)*LOG(1-Electrolysis!$D$36,2))*(Electrolysis!$J$4/1000)^((Electrolysis!$D$39-1)*EXP(-Electrolysis!$J$4/Electrolysis!$D$41)),0))))</f>
        <v/>
      </c>
      <c r="I38" s="426" t="str">
        <f>IFERROR(IF(B38=Electrolysis!$E$9,0,IF(B38&lt;Electrolysis!$E$9,"",IF(B38&gt;Electrolysis!$D$26+Electrolysis!$E$9,"",IF(Electrolysis!$E$10="Grid",IF(ISBLANK(Electrolysis!$C$20),D38*Electrolysis!$D$50*8760,Electrolysis!$D$20*Electrolysis!$D$50*8760),0)))),"-")</f>
        <v/>
      </c>
      <c r="J38" s="426" t="str">
        <f>IFERROR(IF(B38=Electrolysis!$E$9,0,IF(B38&lt;Electrolysis!$E$9,"",IF(B38&gt;Electrolysis!$D$26+Electrolysis!$E$9,"",Electrolysis!$D$43*Electrolysis!$D$44*O38))),"-")</f>
        <v/>
      </c>
      <c r="K38" s="426" t="str">
        <f>IFERROR(IF(B38=Electrolysis!$E$9,0,IF(B38&lt;Electrolysis!$E$9,"",IF(B38&gt;Electrolysis!$D$26+Electrolysis!$E$9,"",-Electrolysis!$D$47*Electrolysis!$D$48*O38))),"-")</f>
        <v/>
      </c>
      <c r="L38" s="426" t="str">
        <f>IF(B38=Electrolysis!$E$9,SUM(F38:K38),IF(B38&lt;Electrolysis!$E$9,"",IF(B38&gt;Electrolysis!$D$26+Electrolysis!$E$9,"",SUM(F38:K38))))</f>
        <v/>
      </c>
      <c r="M38" s="426" t="str">
        <f>IF(B38=Electrolysis!$E$9,I38/(1+Electrolysis!$D$25)^C38,IF(B38&lt;Electrolysis!$E$9,"",IF(B38&gt;Electrolysis!$D$26+Electrolysis!$E$9,"",I38/(1+Electrolysis!$D$25)^C38)))</f>
        <v/>
      </c>
      <c r="N38" s="426" t="str">
        <f>IF(B38=Electrolysis!$E$9,L38/(1+Electrolysis!$D$25)^C38,IF(B38&lt;Electrolysis!$E$9,"",IF(B38&gt;Electrolysis!$D$26+Electrolysis!$E$9,"",L38/(1+Electrolysis!$D$25)^C38)))</f>
        <v/>
      </c>
      <c r="O38" s="429" t="str">
        <f>IF(B38=Electrolysis!$E$9,0,IF(B38&lt;Electrolysis!$E$9,"",IF(B38&gt;Electrolysis!$D$26+Electrolysis!$E$9,"",IF(Electrolysis!$D$13="SOEC",'General values'!$C$3/('General values'!$C$3/(Electrolysis!$D$28-Electrolysis!$D$29*(E38+E37)/2/Electrolysis!$D$33)+'Prod Data'!$C$9/'Prod Data'!$C$10*(1-Electrolysis!$D$45))*Electrolysis!$D$50*8760/'General values'!$C$3,(Electrolysis!$D$28-Electrolysis!$D$29*(E38+E37)/2/Electrolysis!$D$33)*Electrolysis!$D$50*8760/'General values'!$C$3))))</f>
        <v/>
      </c>
      <c r="P38" s="430" t="str">
        <f>IF(B38=Electrolysis!$E$9,O38/(1+Electrolysis!$D$25)^C38,IF(B38&lt;Electrolysis!$E$9,"",IF(B38&gt;Electrolysis!$D$26+Electrolysis!$E$9,"",O38/(1+Electrolysis!$D$25)^C38)))</f>
        <v/>
      </c>
    </row>
    <row r="39" spans="2:16">
      <c r="B39" s="424">
        <v>2057</v>
      </c>
      <c r="C39" s="431" t="str">
        <f>IF(B39=Electrolysis!$E$9,B39-HOME!$A$9,IF(B39&lt;Electrolysis!$E$9,"",IF(B39&gt;Electrolysis!$D$26+Electrolysis!$E$9,"",B39-HOME!$A$9)))</f>
        <v/>
      </c>
      <c r="D39" s="426" t="str" cm="1">
        <f t="array" ref="D39">IFERROR(IF(B39=Electrolysis!$E$9,"",IF(B39&lt;Electrolysis!$E$9,"",IF(B39&gt;Electrolysis!$D$26+Electrolysis!$E$9,"",IF(INDEX(Tb_Fuel[],MATCH(B39,Tb_Fuel[Year],0),HLOOKUP(Electrolysis!$E$8&amp;" - Grid",'Fuel Data'!$BB$2:$BX$3,2,FALSE)+2)=0,INDEX(Tb_Fuel[],MATCH(B39,Tb_Fuel[Year],0),HLOOKUP(Electrolysis!$E$8&amp;" - Grid",'Fuel Data'!$BB$2:$BX$3,2,FALSE)+1),INDEX(Tb_Fuel[],MATCH(B39,Tb_Fuel[Year],0),HLOOKUP(Electrolysis!$E$8&amp;" - Grid",'Fuel Data'!$BB$2:$BX$3,2,FALSE)+1))))),"")</f>
        <v/>
      </c>
      <c r="E39" s="427" t="str">
        <f>IF(B39=Electrolysis!$E$9,0,IF(B39&lt;Electrolysis!$E$9,"",IF(B39&gt;Electrolysis!$D$26+Electrolysis!$E$9,"",IF(E38+Electrolysis!$D$50*8760&lt;Electrolysis!$D$33,E38+Electrolysis!$D$50*8760,E38+Electrolysis!$D$50*8760-Electrolysis!$D$33))))</f>
        <v/>
      </c>
      <c r="F39" s="426" t="str">
        <f>IF(B39=Electrolysis!$E$9,Electrolysis!$D$52,IF(B39&lt;Electrolysis!$E$9,"",IF(B39&gt;Electrolysis!$D$26+Electrolysis!$E$9,"",0)))</f>
        <v/>
      </c>
      <c r="G39" s="426" t="str">
        <f>IF(B39=Electrolysis!$E$9,0,IF(B39&lt;Electrolysis!$E$9,"",IF(B39&gt;Electrolysis!$D$26+Electrolysis!$E$9,"",Electrolysis!$D$52*Electrolysis!$D$24)))</f>
        <v/>
      </c>
      <c r="H39" s="428" t="str">
        <f>IF(B39=Electrolysis!$E$9,0,IF(B39&lt;Electrolysis!$E$9,"",IF(B39&gt;Electrolysis!$D$26+Electrolysis!$E$9,"",IF(E39&lt;E38,Electrolysis!$D$23*Electrolysis!$D$32*(1+Electrolysis!$D$35)^((MIN(B39,2030)-2021)*LOG(1-Electrolysis!$D$36,2))*(Electrolysis!$J$4/1000)^((Electrolysis!$D$39-1)*EXP(-Electrolysis!$J$4/Electrolysis!$D$41)),0))))</f>
        <v/>
      </c>
      <c r="I39" s="426" t="str">
        <f>IFERROR(IF(B39=Electrolysis!$E$9,0,IF(B39&lt;Electrolysis!$E$9,"",IF(B39&gt;Electrolysis!$D$26+Electrolysis!$E$9,"",IF(Electrolysis!$E$10="Grid",IF(ISBLANK(Electrolysis!$C$20),D39*Electrolysis!$D$50*8760,Electrolysis!$D$20*Electrolysis!$D$50*8760),0)))),"-")</f>
        <v/>
      </c>
      <c r="J39" s="426" t="str">
        <f>IFERROR(IF(B39=Electrolysis!$E$9,0,IF(B39&lt;Electrolysis!$E$9,"",IF(B39&gt;Electrolysis!$D$26+Electrolysis!$E$9,"",Electrolysis!$D$43*Electrolysis!$D$44*O39))),"-")</f>
        <v/>
      </c>
      <c r="K39" s="426" t="str">
        <f>IFERROR(IF(B39=Electrolysis!$E$9,0,IF(B39&lt;Electrolysis!$E$9,"",IF(B39&gt;Electrolysis!$D$26+Electrolysis!$E$9,"",-Electrolysis!$D$47*Electrolysis!$D$48*O39))),"-")</f>
        <v/>
      </c>
      <c r="L39" s="426" t="str">
        <f>IF(B39=Electrolysis!$E$9,SUM(F39:K39),IF(B39&lt;Electrolysis!$E$9,"",IF(B39&gt;Electrolysis!$D$26+Electrolysis!$E$9,"",SUM(F39:K39))))</f>
        <v/>
      </c>
      <c r="M39" s="426" t="str">
        <f>IF(B39=Electrolysis!$E$9,I39/(1+Electrolysis!$D$25)^C39,IF(B39&lt;Electrolysis!$E$9,"",IF(B39&gt;Electrolysis!$D$26+Electrolysis!$E$9,"",I39/(1+Electrolysis!$D$25)^C39)))</f>
        <v/>
      </c>
      <c r="N39" s="426" t="str">
        <f>IF(B39=Electrolysis!$E$9,L39/(1+Electrolysis!$D$25)^C39,IF(B39&lt;Electrolysis!$E$9,"",IF(B39&gt;Electrolysis!$D$26+Electrolysis!$E$9,"",L39/(1+Electrolysis!$D$25)^C39)))</f>
        <v/>
      </c>
      <c r="O39" s="429" t="str">
        <f>IF(B39=Electrolysis!$E$9,0,IF(B39&lt;Electrolysis!$E$9,"",IF(B39&gt;Electrolysis!$D$26+Electrolysis!$E$9,"",IF(Electrolysis!$D$13="SOEC",'General values'!$C$3/('General values'!$C$3/(Electrolysis!$D$28-Electrolysis!$D$29*(E39+E38)/2/Electrolysis!$D$33)+'Prod Data'!$C$9/'Prod Data'!$C$10*(1-Electrolysis!$D$45))*Electrolysis!$D$50*8760/'General values'!$C$3,(Electrolysis!$D$28-Electrolysis!$D$29*(E39+E38)/2/Electrolysis!$D$33)*Electrolysis!$D$50*8760/'General values'!$C$3))))</f>
        <v/>
      </c>
      <c r="P39" s="430" t="str">
        <f>IF(B39=Electrolysis!$E$9,O39/(1+Electrolysis!$D$25)^C39,IF(B39&lt;Electrolysis!$E$9,"",IF(B39&gt;Electrolysis!$D$26+Electrolysis!$E$9,"",O39/(1+Electrolysis!$D$25)^C39)))</f>
        <v/>
      </c>
    </row>
    <row r="40" spans="2:16">
      <c r="B40" s="424">
        <v>2058</v>
      </c>
      <c r="C40" s="431" t="str">
        <f>IF(B40=Electrolysis!$E$9,B40-HOME!$A$9,IF(B40&lt;Electrolysis!$E$9,"",IF(B40&gt;Electrolysis!$D$26+Electrolysis!$E$9,"",B40-HOME!$A$9)))</f>
        <v/>
      </c>
      <c r="D40" s="426" t="str" cm="1">
        <f t="array" ref="D40">IFERROR(IF(B40=Electrolysis!$E$9,"",IF(B40&lt;Electrolysis!$E$9,"",IF(B40&gt;Electrolysis!$D$26+Electrolysis!$E$9,"",IF(INDEX(Tb_Fuel[],MATCH(B40,Tb_Fuel[Year],0),HLOOKUP(Electrolysis!$E$8&amp;" - Grid",'Fuel Data'!$BB$2:$BX$3,2,FALSE)+2)=0,INDEX(Tb_Fuel[],MATCH(B40,Tb_Fuel[Year],0),HLOOKUP(Electrolysis!$E$8&amp;" - Grid",'Fuel Data'!$BB$2:$BX$3,2,FALSE)+1),INDEX(Tb_Fuel[],MATCH(B40,Tb_Fuel[Year],0),HLOOKUP(Electrolysis!$E$8&amp;" - Grid",'Fuel Data'!$BB$2:$BX$3,2,FALSE)+1))))),"")</f>
        <v/>
      </c>
      <c r="E40" s="427" t="str">
        <f>IF(B40=Electrolysis!$E$9,0,IF(B40&lt;Electrolysis!$E$9,"",IF(B40&gt;Electrolysis!$D$26+Electrolysis!$E$9,"",IF(E39+Electrolysis!$D$50*8760&lt;Electrolysis!$D$33,E39+Electrolysis!$D$50*8760,E39+Electrolysis!$D$50*8760-Electrolysis!$D$33))))</f>
        <v/>
      </c>
      <c r="F40" s="426" t="str">
        <f>IF(B40=Electrolysis!$E$9,Electrolysis!$D$52,IF(B40&lt;Electrolysis!$E$9,"",IF(B40&gt;Electrolysis!$D$26+Electrolysis!$E$9,"",0)))</f>
        <v/>
      </c>
      <c r="G40" s="426" t="str">
        <f>IF(B40=Electrolysis!$E$9,0,IF(B40&lt;Electrolysis!$E$9,"",IF(B40&gt;Electrolysis!$D$26+Electrolysis!$E$9,"",Electrolysis!$D$52*Electrolysis!$D$24)))</f>
        <v/>
      </c>
      <c r="H40" s="428" t="str">
        <f>IF(B40=Electrolysis!$E$9,0,IF(B40&lt;Electrolysis!$E$9,"",IF(B40&gt;Electrolysis!$D$26+Electrolysis!$E$9,"",IF(E40&lt;E39,Electrolysis!$D$23*Electrolysis!$D$32*(1+Electrolysis!$D$35)^((MIN(B40,2030)-2021)*LOG(1-Electrolysis!$D$36,2))*(Electrolysis!$J$4/1000)^((Electrolysis!$D$39-1)*EXP(-Electrolysis!$J$4/Electrolysis!$D$41)),0))))</f>
        <v/>
      </c>
      <c r="I40" s="426" t="str">
        <f>IFERROR(IF(B40=Electrolysis!$E$9,0,IF(B40&lt;Electrolysis!$E$9,"",IF(B40&gt;Electrolysis!$D$26+Electrolysis!$E$9,"",IF(Electrolysis!$E$10="Grid",IF(ISBLANK(Electrolysis!$C$20),D40*Electrolysis!$D$50*8760,Electrolysis!$D$20*Electrolysis!$D$50*8760),0)))),"-")</f>
        <v/>
      </c>
      <c r="J40" s="426" t="str">
        <f>IFERROR(IF(B40=Electrolysis!$E$9,0,IF(B40&lt;Electrolysis!$E$9,"",IF(B40&gt;Electrolysis!$D$26+Electrolysis!$E$9,"",Electrolysis!$D$43*Electrolysis!$D$44*O40))),"-")</f>
        <v/>
      </c>
      <c r="K40" s="426" t="str">
        <f>IFERROR(IF(B40=Electrolysis!$E$9,0,IF(B40&lt;Electrolysis!$E$9,"",IF(B40&gt;Electrolysis!$D$26+Electrolysis!$E$9,"",-Electrolysis!$D$47*Electrolysis!$D$48*O40))),"-")</f>
        <v/>
      </c>
      <c r="L40" s="426" t="str">
        <f>IF(B40=Electrolysis!$E$9,SUM(F40:K40),IF(B40&lt;Electrolysis!$E$9,"",IF(B40&gt;Electrolysis!$D$26+Electrolysis!$E$9,"",SUM(F40:K40))))</f>
        <v/>
      </c>
      <c r="M40" s="426" t="str">
        <f>IF(B40=Electrolysis!$E$9,I40/(1+Electrolysis!$D$25)^C40,IF(B40&lt;Electrolysis!$E$9,"",IF(B40&gt;Electrolysis!$D$26+Electrolysis!$E$9,"",I40/(1+Electrolysis!$D$25)^C40)))</f>
        <v/>
      </c>
      <c r="N40" s="426" t="str">
        <f>IF(B40=Electrolysis!$E$9,L40/(1+Electrolysis!$D$25)^C40,IF(B40&lt;Electrolysis!$E$9,"",IF(B40&gt;Electrolysis!$D$26+Electrolysis!$E$9,"",L40/(1+Electrolysis!$D$25)^C40)))</f>
        <v/>
      </c>
      <c r="O40" s="429" t="str">
        <f>IF(B40=Electrolysis!$E$9,0,IF(B40&lt;Electrolysis!$E$9,"",IF(B40&gt;Electrolysis!$D$26+Electrolysis!$E$9,"",IF(Electrolysis!$D$13="SOEC",'General values'!$C$3/('General values'!$C$3/(Electrolysis!$D$28-Electrolysis!$D$29*(E40+E39)/2/Electrolysis!$D$33)+'Prod Data'!$C$9/'Prod Data'!$C$10*(1-Electrolysis!$D$45))*Electrolysis!$D$50*8760/'General values'!$C$3,(Electrolysis!$D$28-Electrolysis!$D$29*(E40+E39)/2/Electrolysis!$D$33)*Electrolysis!$D$50*8760/'General values'!$C$3))))</f>
        <v/>
      </c>
      <c r="P40" s="430" t="str">
        <f>IF(B40=Electrolysis!$E$9,O40/(1+Electrolysis!$D$25)^C40,IF(B40&lt;Electrolysis!$E$9,"",IF(B40&gt;Electrolysis!$D$26+Electrolysis!$E$9,"",O40/(1+Electrolysis!$D$25)^C40)))</f>
        <v/>
      </c>
    </row>
    <row r="41" spans="2:16">
      <c r="B41" s="424">
        <v>2059</v>
      </c>
      <c r="C41" s="431" t="str">
        <f>IF(B41=Electrolysis!$E$9,B41-HOME!$A$9,IF(B41&lt;Electrolysis!$E$9,"",IF(B41&gt;Electrolysis!$D$26+Electrolysis!$E$9,"",B41-HOME!$A$9)))</f>
        <v/>
      </c>
      <c r="D41" s="426" t="str" cm="1">
        <f t="array" ref="D41">IFERROR(IF(B41=Electrolysis!$E$9,"",IF(B41&lt;Electrolysis!$E$9,"",IF(B41&gt;Electrolysis!$D$26+Electrolysis!$E$9,"",IF(INDEX(Tb_Fuel[],MATCH(B41,Tb_Fuel[Year],0),HLOOKUP(Electrolysis!$E$8&amp;" - Grid",'Fuel Data'!$BB$2:$BX$3,2,FALSE)+2)=0,INDEX(Tb_Fuel[],MATCH(B41,Tb_Fuel[Year],0),HLOOKUP(Electrolysis!$E$8&amp;" - Grid",'Fuel Data'!$BB$2:$BX$3,2,FALSE)+1),INDEX(Tb_Fuel[],MATCH(B41,Tb_Fuel[Year],0),HLOOKUP(Electrolysis!$E$8&amp;" - Grid",'Fuel Data'!$BB$2:$BX$3,2,FALSE)+1))))),"")</f>
        <v/>
      </c>
      <c r="E41" s="427" t="str">
        <f>IF(B41=Electrolysis!$E$9,0,IF(B41&lt;Electrolysis!$E$9,"",IF(B41&gt;Electrolysis!$D$26+Electrolysis!$E$9,"",IF(E40+Electrolysis!$D$50*8760&lt;Electrolysis!$D$33,E40+Electrolysis!$D$50*8760,E40+Electrolysis!$D$50*8760-Electrolysis!$D$33))))</f>
        <v/>
      </c>
      <c r="F41" s="426" t="str">
        <f>IF(B41=Electrolysis!$E$9,Electrolysis!$D$52,IF(B41&lt;Electrolysis!$E$9,"",IF(B41&gt;Electrolysis!$D$26+Electrolysis!$E$9,"",0)))</f>
        <v/>
      </c>
      <c r="G41" s="426" t="str">
        <f>IF(B41=Electrolysis!$E$9,0,IF(B41&lt;Electrolysis!$E$9,"",IF(B41&gt;Electrolysis!$D$26+Electrolysis!$E$9,"",Electrolysis!$D$52*Electrolysis!$D$24)))</f>
        <v/>
      </c>
      <c r="H41" s="428" t="str">
        <f>IF(B41=Electrolysis!$E$9,0,IF(B41&lt;Electrolysis!$E$9,"",IF(B41&gt;Electrolysis!$D$26+Electrolysis!$E$9,"",IF(E41&lt;E40,Electrolysis!$D$23*Electrolysis!$D$32*(1+Electrolysis!$D$35)^((MIN(B41,2030)-2021)*LOG(1-Electrolysis!$D$36,2))*(Electrolysis!$J$4/1000)^((Electrolysis!$D$39-1)*EXP(-Electrolysis!$J$4/Electrolysis!$D$41)),0))))</f>
        <v/>
      </c>
      <c r="I41" s="426" t="str">
        <f>IFERROR(IF(B41=Electrolysis!$E$9,0,IF(B41&lt;Electrolysis!$E$9,"",IF(B41&gt;Electrolysis!$D$26+Electrolysis!$E$9,"",IF(Electrolysis!$E$10="Grid",IF(ISBLANK(Electrolysis!$C$20),D41*Electrolysis!$D$50*8760,Electrolysis!$D$20*Electrolysis!$D$50*8760),0)))),"-")</f>
        <v/>
      </c>
      <c r="J41" s="426" t="str">
        <f>IFERROR(IF(B41=Electrolysis!$E$9,0,IF(B41&lt;Electrolysis!$E$9,"",IF(B41&gt;Electrolysis!$D$26+Electrolysis!$E$9,"",Electrolysis!$D$43*Electrolysis!$D$44*O41))),"-")</f>
        <v/>
      </c>
      <c r="K41" s="426" t="str">
        <f>IFERROR(IF(B41=Electrolysis!$E$9,0,IF(B41&lt;Electrolysis!$E$9,"",IF(B41&gt;Electrolysis!$D$26+Electrolysis!$E$9,"",-Electrolysis!$D$47*Electrolysis!$D$48*O41))),"-")</f>
        <v/>
      </c>
      <c r="L41" s="426" t="str">
        <f>IF(B41=Electrolysis!$E$9,SUM(F41:K41),IF(B41&lt;Electrolysis!$E$9,"",IF(B41&gt;Electrolysis!$D$26+Electrolysis!$E$9,"",SUM(F41:K41))))</f>
        <v/>
      </c>
      <c r="M41" s="426" t="str">
        <f>IF(B41=Electrolysis!$E$9,I41/(1+Electrolysis!$D$25)^C41,IF(B41&lt;Electrolysis!$E$9,"",IF(B41&gt;Electrolysis!$D$26+Electrolysis!$E$9,"",I41/(1+Electrolysis!$D$25)^C41)))</f>
        <v/>
      </c>
      <c r="N41" s="426" t="str">
        <f>IF(B41=Electrolysis!$E$9,L41/(1+Electrolysis!$D$25)^C41,IF(B41&lt;Electrolysis!$E$9,"",IF(B41&gt;Electrolysis!$D$26+Electrolysis!$E$9,"",L41/(1+Electrolysis!$D$25)^C41)))</f>
        <v/>
      </c>
      <c r="O41" s="429" t="str">
        <f>IF(B41=Electrolysis!$E$9,0,IF(B41&lt;Electrolysis!$E$9,"",IF(B41&gt;Electrolysis!$D$26+Electrolysis!$E$9,"",IF(Electrolysis!$D$13="SOEC",'General values'!$C$3/('General values'!$C$3/(Electrolysis!$D$28-Electrolysis!$D$29*(E41+E40)/2/Electrolysis!$D$33)+'Prod Data'!$C$9/'Prod Data'!$C$10*(1-Electrolysis!$D$45))*Electrolysis!$D$50*8760/'General values'!$C$3,(Electrolysis!$D$28-Electrolysis!$D$29*(E41+E40)/2/Electrolysis!$D$33)*Electrolysis!$D$50*8760/'General values'!$C$3))))</f>
        <v/>
      </c>
      <c r="P41" s="430" t="str">
        <f>IF(B41=Electrolysis!$E$9,O41/(1+Electrolysis!$D$25)^C41,IF(B41&lt;Electrolysis!$E$9,"",IF(B41&gt;Electrolysis!$D$26+Electrolysis!$E$9,"",O41/(1+Electrolysis!$D$25)^C41)))</f>
        <v/>
      </c>
    </row>
    <row r="42" spans="2:16" ht="17" thickBot="1">
      <c r="B42" s="432">
        <v>2060</v>
      </c>
      <c r="C42" s="433" t="str">
        <f>IF(B42=Electrolysis!$E$9,B42-HOME!$A$9,IF(B42&lt;Electrolysis!$E$9,"",IF(B42&gt;Electrolysis!$D$26+Electrolysis!$E$9,"",B42-HOME!$A$9)))</f>
        <v/>
      </c>
      <c r="D42" s="434" t="str" cm="1">
        <f t="array" ref="D42">IFERROR(IF(B42=Electrolysis!$E$9,"",IF(B42&lt;Electrolysis!$E$9,"",IF(B42&gt;Electrolysis!$D$26+Electrolysis!$E$9,"",IF(INDEX(Tb_Fuel[],MATCH(B42,Tb_Fuel[Year],0),HLOOKUP(Electrolysis!$E$8&amp;" - Grid",'Fuel Data'!$BB$2:$BX$3,2,FALSE)+2)=0,INDEX(Tb_Fuel[],MATCH(B42,Tb_Fuel[Year],0),HLOOKUP(Electrolysis!$E$8&amp;" - Grid",'Fuel Data'!$BB$2:$BX$3,2,FALSE)+1),INDEX(Tb_Fuel[],MATCH(B42,Tb_Fuel[Year],0),HLOOKUP(Electrolysis!$E$8&amp;" - Grid",'Fuel Data'!$BB$2:$BX$3,2,FALSE)+1))))),"")</f>
        <v/>
      </c>
      <c r="E42" s="435" t="str">
        <f>IF(B42=Electrolysis!$E$9,0,IF(B42&lt;Electrolysis!$E$9,"",IF(B42&gt;Electrolysis!$D$26+Electrolysis!$E$9,"",IF(E41+Electrolysis!$D$50*8760&lt;Electrolysis!$D$33,E41+Electrolysis!$D$50*8760,E41+Electrolysis!$D$50*8760-Electrolysis!$D$33))))</f>
        <v/>
      </c>
      <c r="F42" s="434" t="str">
        <f>IF(B42=Electrolysis!$E$9,Electrolysis!$D$52,IF(B42&lt;Electrolysis!$E$9,"",IF(B42&gt;Electrolysis!$D$26+Electrolysis!$E$9,"",0)))</f>
        <v/>
      </c>
      <c r="G42" s="434" t="str">
        <f>IF(B42=Electrolysis!$E$9,0,IF(B42&lt;Electrolysis!$E$9,"",IF(B42&gt;Electrolysis!$D$26+Electrolysis!$E$9,"",Electrolysis!$D$52*Electrolysis!$D$24)))</f>
        <v/>
      </c>
      <c r="H42" s="436" t="str">
        <f>IF(B42=Electrolysis!$E$9,0,IF(B42&lt;Electrolysis!$E$9,"",IF(B42&gt;Electrolysis!$D$26+Electrolysis!$E$9,"",IF(E42&lt;E41,Electrolysis!$D$23*Electrolysis!$D$32*(1+Electrolysis!$D$35)^((MIN(B42,2030)-2021)*LOG(1-Electrolysis!$D$36,2))*(Electrolysis!$J$4/1000)^((Electrolysis!$D$39-1)*EXP(-Electrolysis!$J$4/Electrolysis!$D$41)),0))))</f>
        <v/>
      </c>
      <c r="I42" s="434" t="str">
        <f>IFERROR(IF(B42=Electrolysis!$E$9,0,IF(B42&lt;Electrolysis!$E$9,"",IF(B42&gt;Electrolysis!$D$26+Electrolysis!$E$9,"",IF(Electrolysis!$E$10="Grid",IF(ISBLANK(Electrolysis!$C$20),D42*Electrolysis!$D$50*8760,Electrolysis!$D$20*Electrolysis!$D$50*8760),0)))),"-")</f>
        <v/>
      </c>
      <c r="J42" s="434" t="str">
        <f>IFERROR(IF(B42=Electrolysis!$E$9,0,IF(B42&lt;Electrolysis!$E$9,"",IF(B42&gt;Electrolysis!$D$26+Electrolysis!$E$9,"",Electrolysis!$D$43*Electrolysis!$D$44*O42))),"-")</f>
        <v/>
      </c>
      <c r="K42" s="434" t="str">
        <f>IFERROR(IF(B42=Electrolysis!$E$9,0,IF(B42&lt;Electrolysis!$E$9,"",IF(B42&gt;Electrolysis!$D$26+Electrolysis!$E$9,"",-Electrolysis!$D$47*Electrolysis!$D$48*O42))),"-")</f>
        <v/>
      </c>
      <c r="L42" s="434" t="str">
        <f>IF(B42=Electrolysis!$E$9,SUM(F42:K42),IF(B42&lt;Electrolysis!$E$9,"",IF(B42&gt;Electrolysis!$D$26+Electrolysis!$E$9,"",SUM(F42:K42))))</f>
        <v/>
      </c>
      <c r="M42" s="434" t="str">
        <f>IF(B42=Electrolysis!$E$9,I42/(1+Electrolysis!$D$25)^C42,IF(B42&lt;Electrolysis!$E$9,"",IF(B42&gt;Electrolysis!$D$26+Electrolysis!$E$9,"",I42/(1+Electrolysis!$D$25)^C42)))</f>
        <v/>
      </c>
      <c r="N42" s="434" t="str">
        <f>IF(B42=Electrolysis!$E$9,L42/(1+Electrolysis!$D$25)^C42,IF(B42&lt;Electrolysis!$E$9,"",IF(B42&gt;Electrolysis!$D$26+Electrolysis!$E$9,"",L42/(1+Electrolysis!$D$25)^C42)))</f>
        <v/>
      </c>
      <c r="O42" s="437" t="str">
        <f>IF(B42=Electrolysis!$E$9,0,IF(B42&lt;Electrolysis!$E$9,"",IF(B42&gt;Electrolysis!$D$26+Electrolysis!$E$9,"",IF(Electrolysis!$D$13="SOEC",'General values'!$C$3/('General values'!$C$3/(Electrolysis!$D$28-Electrolysis!$D$29*(E42+E41)/2/Electrolysis!$D$33)+'Prod Data'!$C$9/'Prod Data'!$C$10*(1-Electrolysis!$D$45))*Electrolysis!$D$50*8760/'General values'!$C$3,(Electrolysis!$D$28-Electrolysis!$D$29*(E42+E41)/2/Electrolysis!$D$33)*Electrolysis!$D$50*8760/'General values'!$C$3))))</f>
        <v/>
      </c>
      <c r="P42" s="438" t="str">
        <f>IF(B42=Electrolysis!$E$9,O42/(1+Electrolysis!$D$25)^C42,IF(B42&lt;Electrolysis!$E$9,"",IF(B42&gt;Electrolysis!$D$26+Electrolysis!$E$9,"",O42/(1+Electrolysis!$D$25)^C42)))</f>
        <v/>
      </c>
    </row>
    <row r="50" spans="5:5">
      <c r="E50" s="44"/>
    </row>
  </sheetData>
  <sheetProtection algorithmName="SHA-512" hashValue="+nWxvK4rT3tr0vH52fcN4x1Cq53Bkaq6jDlRxdJ+FtVR55HaSB0IPVWu/Knc2ywr3sZ8SrjXBPEbG3V8GLm+Jw==" saltValue="qwcmp2qgYRc/LPdX6NIi+A==" spinCount="100000" sheet="1" objects="1" scenarios="1"/>
  <mergeCells count="1">
    <mergeCell ref="R2:T4"/>
  </mergeCells>
  <hyperlinks>
    <hyperlink ref="A1" location="HOME!A1" display="HOME" xr:uid="{DAF5EE1C-1258-E640-B0E9-93D15D7D6F0B}"/>
  </hyperlink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C42F6-6FD1-2544-AD60-930497861478}">
  <sheetPr>
    <tabColor theme="4" tint="0.59999389629810485"/>
  </sheetPr>
  <dimension ref="A1:L69"/>
  <sheetViews>
    <sheetView topLeftCell="A29" zoomScale="86" zoomScaleNormal="70" workbookViewId="0">
      <selection activeCell="E57" sqref="E57"/>
    </sheetView>
  </sheetViews>
  <sheetFormatPr baseColWidth="10" defaultColWidth="10.5" defaultRowHeight="16"/>
  <cols>
    <col min="1" max="1" width="27.5" style="2" bestFit="1" customWidth="1"/>
    <col min="2" max="2" width="12" style="2" bestFit="1" customWidth="1"/>
    <col min="3" max="3" width="11.33203125" style="2" customWidth="1"/>
    <col min="4" max="4" width="12" style="2" bestFit="1" customWidth="1"/>
    <col min="5" max="5" width="16" style="2" bestFit="1" customWidth="1"/>
    <col min="6" max="6" width="53" style="2" bestFit="1" customWidth="1"/>
    <col min="7" max="8" width="10.5" style="2"/>
    <col min="9" max="9" width="11.83203125" style="2" bestFit="1" customWidth="1"/>
    <col min="10" max="10" width="10.5" style="2"/>
    <col min="11" max="11" width="11.33203125" style="2" customWidth="1"/>
    <col min="12" max="16384" width="10.5" style="2"/>
  </cols>
  <sheetData>
    <row r="1" spans="1:10">
      <c r="A1" s="213" t="s">
        <v>234</v>
      </c>
    </row>
    <row r="2" spans="1:10" ht="17" thickBot="1"/>
    <row r="3" spans="1:10" ht="18" customHeight="1">
      <c r="A3" s="1047" t="s">
        <v>744</v>
      </c>
      <c r="B3" s="1048"/>
      <c r="C3" s="1048"/>
      <c r="D3" s="1048"/>
      <c r="E3" s="1048"/>
      <c r="F3" s="1048"/>
      <c r="G3" s="1049"/>
      <c r="I3" s="1065" t="s">
        <v>823</v>
      </c>
      <c r="J3" s="1066"/>
    </row>
    <row r="4" spans="1:10" ht="16" customHeight="1">
      <c r="A4" s="1050"/>
      <c r="B4" s="1051"/>
      <c r="C4" s="1051"/>
      <c r="D4" s="1051"/>
      <c r="E4" s="1051"/>
      <c r="F4" s="1051"/>
      <c r="G4" s="1052"/>
      <c r="I4" s="521" t="s">
        <v>244</v>
      </c>
      <c r="J4" s="522">
        <v>300</v>
      </c>
    </row>
    <row r="5" spans="1:10" ht="16" customHeight="1">
      <c r="A5" s="1055">
        <f>D62</f>
        <v>2.7564822277912975</v>
      </c>
      <c r="B5" s="1056"/>
      <c r="C5" s="1056"/>
      <c r="D5" s="1056"/>
      <c r="E5" s="1059" t="s">
        <v>236</v>
      </c>
      <c r="F5" s="1059"/>
      <c r="G5" s="1060"/>
      <c r="I5" s="143" t="s">
        <v>746</v>
      </c>
      <c r="J5" s="145">
        <f>HOME!D12/1000</f>
        <v>0</v>
      </c>
    </row>
    <row r="6" spans="1:10" ht="17.25" customHeight="1" thickBot="1">
      <c r="A6" s="1057"/>
      <c r="B6" s="1058"/>
      <c r="C6" s="1058"/>
      <c r="D6" s="1058"/>
      <c r="E6" s="1061"/>
      <c r="F6" s="1061"/>
      <c r="G6" s="1062"/>
      <c r="I6" s="523" t="s">
        <v>747</v>
      </c>
      <c r="J6" s="524">
        <f>IF(ISBLANK(HOME!D12),J4,HOME!D12/1000)</f>
        <v>300</v>
      </c>
    </row>
    <row r="8" spans="1:10">
      <c r="A8" s="1053" t="s">
        <v>748</v>
      </c>
      <c r="B8" s="1053"/>
      <c r="C8" s="1053"/>
      <c r="D8" s="1053"/>
      <c r="E8" s="1100" t="str">
        <f>HOME!H55</f>
        <v>Spain</v>
      </c>
      <c r="F8" s="981"/>
      <c r="G8" s="982"/>
    </row>
    <row r="9" spans="1:10">
      <c r="A9" s="1053" t="s">
        <v>237</v>
      </c>
      <c r="B9" s="1053"/>
      <c r="C9" s="1053"/>
      <c r="D9" s="1053"/>
      <c r="E9" s="1100">
        <f>HOME!H54</f>
        <v>2022</v>
      </c>
      <c r="F9" s="981"/>
      <c r="G9" s="982"/>
    </row>
    <row r="12" spans="1:10">
      <c r="A12" s="1053" t="s">
        <v>824</v>
      </c>
      <c r="B12" s="1053"/>
      <c r="C12" s="1053"/>
      <c r="D12" s="1101" t="str">
        <f>HOME!D14</f>
        <v>Onshore wind</v>
      </c>
      <c r="E12" s="1101"/>
      <c r="F12" s="213" t="str">
        <f>"-&gt; edit"</f>
        <v>-&gt; edit</v>
      </c>
    </row>
    <row r="13" spans="1:10">
      <c r="A13" s="1053" t="s">
        <v>825</v>
      </c>
      <c r="B13" s="1053"/>
      <c r="C13" s="1053"/>
      <c r="D13" s="1101" t="str">
        <f>HOME!D15</f>
        <v>PEM</v>
      </c>
      <c r="E13" s="1101"/>
      <c r="F13" s="175" t="str">
        <f>IF(AND(D12="No",D13="H2"),"Error: combination not possible","")</f>
        <v/>
      </c>
      <c r="J13" s="173"/>
    </row>
    <row r="14" spans="1:10" ht="17" thickBot="1">
      <c r="A14" s="221"/>
      <c r="B14" s="171"/>
    </row>
    <row r="15" spans="1:10" ht="17" thickBot="1">
      <c r="A15" s="1102" t="s">
        <v>243</v>
      </c>
      <c r="B15" s="1102"/>
      <c r="C15" s="1102"/>
      <c r="D15" s="1102"/>
      <c r="E15" s="1102"/>
      <c r="F15" s="1102"/>
      <c r="G15" s="1103"/>
    </row>
    <row r="16" spans="1:10">
      <c r="A16" s="222"/>
      <c r="B16" s="223"/>
      <c r="C16" s="223"/>
      <c r="D16" s="223"/>
      <c r="E16" s="223"/>
      <c r="F16" s="217"/>
      <c r="G16" s="171"/>
    </row>
    <row r="17" spans="1:10">
      <c r="A17" s="48" t="s">
        <v>154</v>
      </c>
      <c r="B17" s="48" t="s">
        <v>244</v>
      </c>
      <c r="C17" s="48" t="s">
        <v>245</v>
      </c>
      <c r="D17" s="48" t="s">
        <v>246</v>
      </c>
      <c r="E17" s="49" t="s">
        <v>247</v>
      </c>
      <c r="F17" s="45" t="s">
        <v>248</v>
      </c>
      <c r="G17" s="47"/>
    </row>
    <row r="19" spans="1:10" ht="18">
      <c r="A19" s="1" t="s">
        <v>826</v>
      </c>
      <c r="B19" s="505">
        <f>IF(D13="H2",'Prod Data'!U6*(1-'Prod Data'!U8),'Prod Data'!U5)</f>
        <v>612.72118128304896</v>
      </c>
      <c r="C19" s="8"/>
      <c r="D19" s="509">
        <f>IF(ISBLANK(C19),B19,C19)</f>
        <v>612.72118128304896</v>
      </c>
      <c r="E19" s="510" t="s">
        <v>717</v>
      </c>
      <c r="F19" s="3" t="s">
        <v>827</v>
      </c>
      <c r="G19" s="1044" t="s">
        <v>828</v>
      </c>
    </row>
    <row r="20" spans="1:10" ht="18">
      <c r="A20" s="1" t="s">
        <v>829</v>
      </c>
      <c r="B20" s="505">
        <f>IF(D12="No",0,IF(SMR!D13="H2",'Prod Data'!U6*'Prod Data'!U8,'Prod Data'!U7*'Prod Data'!U9))</f>
        <v>481.63885064352002</v>
      </c>
      <c r="C20" s="8"/>
      <c r="D20" s="511">
        <f>IF(ISBLANK(C20),B20,C20)</f>
        <v>481.63885064352002</v>
      </c>
      <c r="E20" s="510" t="s">
        <v>717</v>
      </c>
      <c r="F20" s="3" t="s">
        <v>830</v>
      </c>
      <c r="G20" s="1044"/>
    </row>
    <row r="21" spans="1:10" ht="18">
      <c r="A21" s="1" t="s">
        <v>831</v>
      </c>
      <c r="B21" s="505">
        <f>B19+B20</f>
        <v>1094.360031926569</v>
      </c>
      <c r="C21" s="8"/>
      <c r="D21" s="509">
        <f>IF(ISBLANK(C21),B21,C21)</f>
        <v>1094.360031926569</v>
      </c>
      <c r="E21" s="335" t="s">
        <v>717</v>
      </c>
      <c r="F21" s="3" t="s">
        <v>832</v>
      </c>
      <c r="G21" s="1082"/>
    </row>
    <row r="22" spans="1:10">
      <c r="B22" s="308"/>
      <c r="D22" s="280"/>
      <c r="E22" s="280"/>
    </row>
    <row r="23" spans="1:10" ht="18">
      <c r="A23" s="1" t="s">
        <v>833</v>
      </c>
      <c r="B23" s="506">
        <f>'Prod Data'!U10</f>
        <v>0</v>
      </c>
      <c r="C23" s="8"/>
      <c r="D23" s="512">
        <f>IF(ISBLANK(C23),B23,C23)</f>
        <v>0</v>
      </c>
      <c r="E23" s="335"/>
      <c r="F23" s="3" t="s">
        <v>834</v>
      </c>
      <c r="G23" s="1082" t="s">
        <v>835</v>
      </c>
    </row>
    <row r="24" spans="1:10" ht="18">
      <c r="A24" s="1" t="s">
        <v>836</v>
      </c>
      <c r="B24" s="506">
        <f>'Prod Data'!U11</f>
        <v>0.11</v>
      </c>
      <c r="C24" s="8"/>
      <c r="D24" s="512">
        <f>IF(ISBLANK(C24),B24,C24)</f>
        <v>0.11</v>
      </c>
      <c r="E24" s="335"/>
      <c r="F24" s="3" t="s">
        <v>837</v>
      </c>
      <c r="G24" s="1082"/>
    </row>
    <row r="25" spans="1:10" ht="16.5" customHeight="1">
      <c r="A25" s="1" t="s">
        <v>838</v>
      </c>
      <c r="B25" s="506">
        <v>0</v>
      </c>
      <c r="C25" s="8"/>
      <c r="D25" s="512">
        <f>IF(ISBLANK(C25),B25,C25)</f>
        <v>0</v>
      </c>
      <c r="E25" s="335"/>
      <c r="F25" s="3" t="s">
        <v>839</v>
      </c>
      <c r="G25" s="1082"/>
    </row>
    <row r="26" spans="1:10" ht="18">
      <c r="A26" s="1" t="s">
        <v>840</v>
      </c>
      <c r="B26" s="506">
        <f>'Prod Data'!U13</f>
        <v>0.37643199999999999</v>
      </c>
      <c r="C26" s="8"/>
      <c r="D26" s="512">
        <f>IF(ISBLANK(C26),B26,C26)</f>
        <v>0.37643199999999999</v>
      </c>
      <c r="E26" s="335"/>
      <c r="F26" s="3" t="s">
        <v>841</v>
      </c>
      <c r="G26" s="1082"/>
    </row>
    <row r="27" spans="1:10" ht="18">
      <c r="A27" s="1" t="s">
        <v>842</v>
      </c>
      <c r="B27" s="505">
        <f>'Prod Data'!U12</f>
        <v>0.68</v>
      </c>
      <c r="C27" s="8"/>
      <c r="D27" s="509">
        <f>IF(ISBLANK(C27),B27,C27)</f>
        <v>0.68</v>
      </c>
      <c r="E27" s="335"/>
      <c r="F27" s="3" t="s">
        <v>843</v>
      </c>
      <c r="G27" s="1082"/>
      <c r="J27" s="173"/>
    </row>
    <row r="28" spans="1:10">
      <c r="B28" s="280"/>
      <c r="D28" s="280"/>
      <c r="E28" s="280"/>
    </row>
    <row r="29" spans="1:10" ht="18" customHeight="1">
      <c r="A29" s="1" t="s">
        <v>202</v>
      </c>
      <c r="B29" s="506">
        <f>'Prod Data'!U14</f>
        <v>3.9300000000000002E-2</v>
      </c>
      <c r="C29" s="9"/>
      <c r="D29" s="513">
        <f>IF(ISBLANK(C29),B29,C29)</f>
        <v>3.9300000000000002E-2</v>
      </c>
      <c r="E29" s="510"/>
      <c r="F29" s="3" t="s">
        <v>844</v>
      </c>
      <c r="G29" s="1044" t="s">
        <v>845</v>
      </c>
    </row>
    <row r="30" spans="1:10" ht="18">
      <c r="A30" s="1" t="s">
        <v>846</v>
      </c>
      <c r="B30" s="507">
        <f>'Prod Data'!U15</f>
        <v>25</v>
      </c>
      <c r="C30" s="8"/>
      <c r="D30" s="514">
        <f>IF(ISBLANK(C30),B30,C30)</f>
        <v>25</v>
      </c>
      <c r="E30" s="335" t="s">
        <v>207</v>
      </c>
      <c r="F30" s="4" t="s">
        <v>847</v>
      </c>
      <c r="G30" s="1044"/>
    </row>
    <row r="31" spans="1:10">
      <c r="A31" s="1" t="s">
        <v>211</v>
      </c>
      <c r="B31" s="506">
        <f>('Prod Data'!U20+1)/(1+'General values'!R9)-1</f>
        <v>6.1086139562302133E-2</v>
      </c>
      <c r="C31" s="59"/>
      <c r="D31" s="515">
        <f>IF(ISBLANK(C31),B31,C31)</f>
        <v>6.1086139562302133E-2</v>
      </c>
      <c r="E31" s="510"/>
      <c r="F31" s="4" t="s">
        <v>284</v>
      </c>
      <c r="G31" s="1044"/>
    </row>
    <row r="32" spans="1:10" ht="18">
      <c r="A32" s="1" t="s">
        <v>848</v>
      </c>
      <c r="B32" s="506">
        <f>'Prod Data'!U16</f>
        <v>0.95</v>
      </c>
      <c r="C32" s="9"/>
      <c r="D32" s="515">
        <f t="shared" ref="D32" si="0">IF(ISBLANK(C32),B32,C32)</f>
        <v>0.95</v>
      </c>
      <c r="E32" s="335"/>
      <c r="F32" s="4" t="s">
        <v>849</v>
      </c>
      <c r="G32" s="1082"/>
    </row>
    <row r="33" spans="1:12">
      <c r="B33" s="280"/>
      <c r="D33" s="280"/>
      <c r="E33" s="280"/>
    </row>
    <row r="34" spans="1:12" ht="18">
      <c r="A34" s="1" t="s">
        <v>850</v>
      </c>
      <c r="B34" s="508">
        <f>IF($D$12="No",'Prod Data'!U21,IF($D$13="H2",'Prod Data'!U23,'Prod Data'!U25))</f>
        <v>2.9159999999999999</v>
      </c>
      <c r="C34" s="9"/>
      <c r="D34" s="516">
        <f>IF(ISBLANK(C34),B34,C34)</f>
        <v>2.9159999999999999</v>
      </c>
      <c r="E34" s="510" t="s">
        <v>851</v>
      </c>
      <c r="F34" s="4" t="s">
        <v>852</v>
      </c>
      <c r="G34" s="1098" t="s">
        <v>853</v>
      </c>
    </row>
    <row r="35" spans="1:12" ht="18">
      <c r="A35" s="1" t="s">
        <v>854</v>
      </c>
      <c r="B35" s="508">
        <f>IF($D$12="No",'Prod Data'!U22,IF($D$13="H2",'Prod Data'!U24,'Prod Data'!U26))</f>
        <v>0.81699999999999995</v>
      </c>
      <c r="C35" s="9"/>
      <c r="D35" s="516">
        <f>IF(ISBLANK(C35),B35,C35)</f>
        <v>0.81699999999999995</v>
      </c>
      <c r="E35" s="335" t="s">
        <v>851</v>
      </c>
      <c r="F35" s="4" t="s">
        <v>855</v>
      </c>
      <c r="G35" s="1099"/>
    </row>
    <row r="36" spans="1:12">
      <c r="B36" s="280"/>
      <c r="D36" s="280"/>
      <c r="E36" s="280"/>
    </row>
    <row r="37" spans="1:12" ht="18">
      <c r="A37" s="1" t="s">
        <v>856</v>
      </c>
      <c r="B37" s="508">
        <f>IF($D$12="No",'Prod Data'!U27,IF($D$13="H2",'Prod Data'!U28,'Prod Data'!U29))</f>
        <v>4.7364909939959975E-2</v>
      </c>
      <c r="C37" s="9"/>
      <c r="D37" s="516">
        <f>IF(ISBLANK(C37),B37,C37)</f>
        <v>4.7364909939959975E-2</v>
      </c>
      <c r="E37" s="335" t="s">
        <v>857</v>
      </c>
      <c r="F37" s="4" t="s">
        <v>858</v>
      </c>
      <c r="G37" s="118" t="s">
        <v>859</v>
      </c>
      <c r="L37" s="173"/>
    </row>
    <row r="38" spans="1:12">
      <c r="B38" s="280"/>
      <c r="D38" s="280"/>
      <c r="E38" s="280"/>
    </row>
    <row r="39" spans="1:12" ht="18">
      <c r="A39" s="1" t="s">
        <v>860</v>
      </c>
      <c r="B39" s="505">
        <f>AVERAGE('CFA SMR'!D4:D42)</f>
        <v>3.2147999999999996E-2</v>
      </c>
      <c r="C39" s="8"/>
      <c r="D39" s="509">
        <f>IF(ISBLANK(C39),B39,C39)</f>
        <v>3.2147999999999996E-2</v>
      </c>
      <c r="E39" s="335" t="s">
        <v>861</v>
      </c>
      <c r="F39" s="3" t="s">
        <v>862</v>
      </c>
      <c r="G39" s="1044" t="s">
        <v>863</v>
      </c>
    </row>
    <row r="40" spans="1:12" ht="18">
      <c r="A40" s="1" t="s">
        <v>864</v>
      </c>
      <c r="B40" s="505">
        <f>AVERAGE('CFA SMR'!F4:F42)</f>
        <v>0</v>
      </c>
      <c r="C40" s="8"/>
      <c r="D40" s="509">
        <f>IF(ISBLANK(C40),B40,C40)</f>
        <v>0</v>
      </c>
      <c r="E40" s="335" t="s">
        <v>865</v>
      </c>
      <c r="F40" s="3" t="s">
        <v>866</v>
      </c>
      <c r="G40" s="1045"/>
    </row>
    <row r="41" spans="1:12" ht="18">
      <c r="A41" s="1" t="s">
        <v>867</v>
      </c>
      <c r="B41" s="505" cm="1">
        <f t="array" ref="B41">IFERROR(INDEX(Tb_CSv[],MATCH(A41,Tb_CSv[Parameter],0),HLOOKUP(E8,'Prod Data'!$AG$2:$AX$3,2,FALSE)+2),"-")</f>
        <v>30.27</v>
      </c>
      <c r="C41" s="8"/>
      <c r="D41" s="509">
        <f>IF(ISBLANK(C41),B41,C41)</f>
        <v>30.27</v>
      </c>
      <c r="E41" s="335" t="s">
        <v>868</v>
      </c>
      <c r="F41" s="3" t="s">
        <v>869</v>
      </c>
      <c r="G41" s="1045"/>
    </row>
    <row r="42" spans="1:12" ht="18">
      <c r="A42" s="1" t="s">
        <v>870</v>
      </c>
      <c r="B42" s="505">
        <f>AVERAGE('CFA SMR'!E4:E42)</f>
        <v>122.4370000845523</v>
      </c>
      <c r="C42" s="8"/>
      <c r="D42" s="509">
        <f>IF(ISBLANK(C42),B42,C42)</f>
        <v>122.4370000845523</v>
      </c>
      <c r="E42" s="335" t="s">
        <v>868</v>
      </c>
      <c r="F42" s="3" t="s">
        <v>871</v>
      </c>
      <c r="G42" s="1046"/>
    </row>
    <row r="43" spans="1:12">
      <c r="B43" s="280"/>
      <c r="D43" s="280"/>
      <c r="E43" s="280"/>
    </row>
    <row r="44" spans="1:12" ht="18">
      <c r="A44" s="1" t="s">
        <v>872</v>
      </c>
      <c r="B44" s="506">
        <f>IF(D12="No",0,IF(D13="H2",'Prod Data'!U17,'Prod Data'!U18))</f>
        <v>0.9</v>
      </c>
      <c r="C44" s="9"/>
      <c r="D44" s="515">
        <f>IF(ISBLANK(C44),B44,C44)</f>
        <v>0.9</v>
      </c>
      <c r="E44" s="335"/>
      <c r="F44" s="4" t="s">
        <v>873</v>
      </c>
      <c r="G44" s="118" t="s">
        <v>874</v>
      </c>
    </row>
    <row r="45" spans="1:12">
      <c r="B45" s="280"/>
    </row>
    <row r="46" spans="1:12" ht="18">
      <c r="A46" s="1" t="s">
        <v>875</v>
      </c>
      <c r="B46" s="517">
        <f>D19*(1+D25)^(LOG(1-D23,2)*(E9-2021))*(J6/'Prod Data'!U19)^(D27-1)</f>
        <v>612.72118128304896</v>
      </c>
      <c r="C46" s="57"/>
      <c r="D46" s="518">
        <f>IF(ISBLANK(C46),B46,C46)</f>
        <v>612.72118128304896</v>
      </c>
      <c r="E46" s="519" t="s">
        <v>717</v>
      </c>
      <c r="F46" s="3" t="str">
        <f>"SMR CAPEX for considered plant ("&amp;J6&amp;" MW in "&amp;E8&amp;")"</f>
        <v>SMR CAPEX for considered plant (300 MW in Spain)</v>
      </c>
      <c r="G46" s="1044" t="s">
        <v>876</v>
      </c>
    </row>
    <row r="47" spans="1:12" ht="18">
      <c r="A47" s="1" t="s">
        <v>877</v>
      </c>
      <c r="B47" s="517">
        <f>IF(D12="No",0,D20*(1+D26)^(LOG(1-D24,2)*(E9-2021))*(J6/'Prod Data'!U19)^(D27-1))</f>
        <v>456.45049056669131</v>
      </c>
      <c r="C47" s="57"/>
      <c r="D47" s="520">
        <f>IF(ISBLANK(C47),B47,C47)</f>
        <v>456.45049056669131</v>
      </c>
      <c r="E47" s="415" t="s">
        <v>717</v>
      </c>
      <c r="F47" s="3" t="str">
        <f>"Carbon capture CAPEX for considered plant ("&amp;J6&amp;" MW in "&amp;E8&amp;")"</f>
        <v>Carbon capture CAPEX for considered plant (300 MW in Spain)</v>
      </c>
      <c r="G47" s="1045"/>
    </row>
    <row r="48" spans="1:12" ht="18">
      <c r="A48" s="1" t="s">
        <v>878</v>
      </c>
      <c r="B48" s="517">
        <f>B46+B47</f>
        <v>1069.1716718497403</v>
      </c>
      <c r="C48" s="57"/>
      <c r="D48" s="520">
        <f>IF(ISBLANK(C48),B48,C48)</f>
        <v>1069.1716718497403</v>
      </c>
      <c r="E48" s="415" t="s">
        <v>717</v>
      </c>
      <c r="F48" s="3" t="str">
        <f>"Overall (SMR+CCS) CAPEX for considered plant ("&amp;J6&amp;" MW in "&amp;E8&amp;")"</f>
        <v>Overall (SMR+CCS) CAPEX for considered plant (300 MW in Spain)</v>
      </c>
      <c r="G48" s="1046"/>
    </row>
    <row r="50" spans="1:7" ht="17" thickBot="1"/>
    <row r="51" spans="1:7" ht="17" thickBot="1">
      <c r="A51" s="1102" t="s">
        <v>297</v>
      </c>
      <c r="B51" s="1104"/>
      <c r="C51" s="1104"/>
      <c r="D51" s="1104"/>
      <c r="E51" s="1104"/>
      <c r="F51" s="1104"/>
      <c r="G51" s="1105"/>
    </row>
    <row r="53" spans="1:7" ht="18">
      <c r="A53" s="1080" t="s">
        <v>879</v>
      </c>
      <c r="B53" s="1081"/>
      <c r="C53" s="1081"/>
      <c r="D53" s="414">
        <f>(D34+D35)*'General values'!B26/'General values'!C3*D32*8760</f>
        <v>13326.845653715371</v>
      </c>
      <c r="E53" s="415" t="s">
        <v>880</v>
      </c>
    </row>
    <row r="54" spans="1:7">
      <c r="A54" s="351"/>
      <c r="B54" s="351"/>
      <c r="C54" s="351"/>
      <c r="D54" s="280"/>
      <c r="E54" s="280"/>
    </row>
    <row r="55" spans="1:7" ht="18">
      <c r="A55" s="1094" t="s">
        <v>881</v>
      </c>
      <c r="B55" s="1095"/>
      <c r="C55" s="1095"/>
      <c r="D55" s="414">
        <f>'General values'!B24/277776*D53/D60</f>
        <v>9.7038530040592253E-3</v>
      </c>
      <c r="E55" s="415" t="s">
        <v>882</v>
      </c>
    </row>
    <row r="56" spans="1:7" ht="18">
      <c r="A56" s="1096"/>
      <c r="B56" s="1097"/>
      <c r="C56" s="1097"/>
      <c r="D56" s="414">
        <f>'General values'!B24/277776*D53</f>
        <v>2.4229062316165879</v>
      </c>
      <c r="E56" s="415" t="s">
        <v>883</v>
      </c>
    </row>
    <row r="57" spans="1:7" ht="18">
      <c r="A57" s="1094" t="s">
        <v>884</v>
      </c>
      <c r="B57" s="1095"/>
      <c r="C57" s="1095"/>
      <c r="D57" s="414">
        <f>D55*D44</f>
        <v>8.7334677036533023E-3</v>
      </c>
      <c r="E57" s="415" t="s">
        <v>882</v>
      </c>
    </row>
    <row r="58" spans="1:7" ht="18">
      <c r="A58" s="1096"/>
      <c r="B58" s="1097"/>
      <c r="C58" s="1097"/>
      <c r="D58" s="414">
        <f>D56*D44</f>
        <v>2.1806156084549291</v>
      </c>
      <c r="E58" s="415" t="s">
        <v>883</v>
      </c>
    </row>
    <row r="59" spans="1:7">
      <c r="A59" s="351"/>
      <c r="B59" s="351"/>
      <c r="C59" s="351"/>
      <c r="D59" s="280"/>
      <c r="E59" s="280"/>
    </row>
    <row r="60" spans="1:7">
      <c r="A60" s="1080" t="s">
        <v>885</v>
      </c>
      <c r="B60" s="1081"/>
      <c r="C60" s="1081"/>
      <c r="D60" s="414">
        <f>D32*8760/'General values'!C3</f>
        <v>249.68496849684971</v>
      </c>
      <c r="E60" s="415" t="s">
        <v>886</v>
      </c>
    </row>
    <row r="61" spans="1:7" ht="17" thickBot="1">
      <c r="A61" s="351"/>
      <c r="B61" s="351"/>
      <c r="C61" s="351"/>
      <c r="D61" s="280"/>
      <c r="E61" s="280"/>
    </row>
    <row r="62" spans="1:7" ht="19" thickBot="1">
      <c r="A62" s="1074" t="s">
        <v>808</v>
      </c>
      <c r="B62" s="1075"/>
      <c r="C62" s="1075"/>
      <c r="D62" s="418">
        <f>SUM('CFA SMR'!R4:R42)/SUM('CFA SMR'!T4:T42)</f>
        <v>2.7564822277912975</v>
      </c>
      <c r="E62" s="419" t="s">
        <v>75</v>
      </c>
    </row>
    <row r="63" spans="1:7">
      <c r="A63" s="1071" t="s">
        <v>321</v>
      </c>
      <c r="B63" s="1072"/>
      <c r="C63" s="1072"/>
      <c r="D63" s="1072"/>
      <c r="E63" s="1073"/>
    </row>
    <row r="64" spans="1:7" ht="18">
      <c r="A64" s="1067" t="s">
        <v>887</v>
      </c>
      <c r="B64" s="1068"/>
      <c r="C64" s="1068"/>
      <c r="D64" s="420">
        <f>D62-D65-D66-D67</f>
        <v>0.50672403714998648</v>
      </c>
      <c r="E64" s="421" t="s">
        <v>75</v>
      </c>
    </row>
    <row r="65" spans="1:11" ht="18">
      <c r="A65" s="1067" t="s">
        <v>888</v>
      </c>
      <c r="B65" s="1068"/>
      <c r="C65" s="1068"/>
      <c r="D65" s="420">
        <f>SUM('CFA SMR'!N4:N42)/SUM('CFA SMR'!T4:T42)</f>
        <v>1.876776292642798</v>
      </c>
      <c r="E65" s="421" t="s">
        <v>75</v>
      </c>
    </row>
    <row r="66" spans="1:11" ht="18">
      <c r="A66" s="1067" t="s">
        <v>889</v>
      </c>
      <c r="B66" s="1068"/>
      <c r="C66" s="1068"/>
      <c r="D66" s="420">
        <f>SUM('CFA SMR'!P4:P42)/SUM('CFA SMR'!T4:T42)</f>
        <v>0.10861983060892748</v>
      </c>
      <c r="E66" s="421" t="s">
        <v>75</v>
      </c>
    </row>
    <row r="67" spans="1:11" ht="19" thickBot="1">
      <c r="A67" s="1069" t="s">
        <v>890</v>
      </c>
      <c r="B67" s="1070"/>
      <c r="C67" s="1070"/>
      <c r="D67" s="422">
        <f>SUM('CFA SMR'!O4:O42)/SUM('CFA SMR'!T4:T42)</f>
        <v>0.26436206738958556</v>
      </c>
      <c r="E67" s="423" t="s">
        <v>75</v>
      </c>
    </row>
    <row r="68" spans="1:11">
      <c r="K68" s="216"/>
    </row>
    <row r="69" spans="1:11">
      <c r="K69" s="216"/>
    </row>
  </sheetData>
  <sheetProtection algorithmName="SHA-512" hashValue="AykaSTjiS1on1QM8wUHz7KlkLSBQL9XtjJsSYOS/MrKuKotj4Zh0/qaDLqLbx5KxEEk06ulC4XvFR2XKze1bmQ==" saltValue="LK0aBaCZHbjCldf5Z3Sngg==" spinCount="100000" sheet="1" objects="1" scenarios="1"/>
  <mergeCells count="30">
    <mergeCell ref="I3:J3"/>
    <mergeCell ref="A63:E63"/>
    <mergeCell ref="A64:C64"/>
    <mergeCell ref="A67:C67"/>
    <mergeCell ref="A65:C65"/>
    <mergeCell ref="A66:C66"/>
    <mergeCell ref="A60:C60"/>
    <mergeCell ref="A62:C62"/>
    <mergeCell ref="A15:G15"/>
    <mergeCell ref="A51:G51"/>
    <mergeCell ref="A53:C53"/>
    <mergeCell ref="A55:C56"/>
    <mergeCell ref="G46:G48"/>
    <mergeCell ref="G39:G42"/>
    <mergeCell ref="G19:G21"/>
    <mergeCell ref="G23:G27"/>
    <mergeCell ref="A57:C58"/>
    <mergeCell ref="G29:G32"/>
    <mergeCell ref="G34:G35"/>
    <mergeCell ref="A3:G4"/>
    <mergeCell ref="A5:D6"/>
    <mergeCell ref="E5:G6"/>
    <mergeCell ref="E8:G8"/>
    <mergeCell ref="E9:G9"/>
    <mergeCell ref="A8:D8"/>
    <mergeCell ref="A13:C13"/>
    <mergeCell ref="D13:E13"/>
    <mergeCell ref="A9:D9"/>
    <mergeCell ref="A12:C12"/>
    <mergeCell ref="D12:E12"/>
  </mergeCells>
  <dataValidations count="1">
    <dataValidation type="list" allowBlank="1" showInputMessage="1" showErrorMessage="1" sqref="B14" xr:uid="{65D33F0E-EDBB-9743-A0D5-4DC7A2B9A417}">
      <formula1>#REF!</formula1>
    </dataValidation>
  </dataValidations>
  <hyperlinks>
    <hyperlink ref="A1" location="HOME!A1" display="HOME" xr:uid="{5217F91F-C806-8746-8253-07EA7F2E39D3}"/>
    <hyperlink ref="F12" location="HOME!D19" display="HOME!D19" xr:uid="{E2B7588B-711A-D64D-BF5F-B05C040D7C0B}"/>
    <hyperlink ref="I5" location="HOME!D17" display="Overwritten" xr:uid="{332CCF4A-0ED4-3C43-AFF1-5D256E5B6132}"/>
  </hyperlink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B2B6-D98D-A241-8648-E302D283A851}">
  <sheetPr>
    <tabColor theme="4" tint="0.79998168889431442"/>
  </sheetPr>
  <dimension ref="A1:T42"/>
  <sheetViews>
    <sheetView zoomScale="80" zoomScaleNormal="80" workbookViewId="0">
      <selection activeCell="B4" sqref="B4:T42"/>
    </sheetView>
  </sheetViews>
  <sheetFormatPr baseColWidth="10" defaultColWidth="10.83203125" defaultRowHeight="16"/>
  <cols>
    <col min="1" max="3" width="10.83203125" style="31"/>
    <col min="4" max="4" width="12.5" style="31" bestFit="1" customWidth="1"/>
    <col min="5" max="18" width="10.83203125" style="31"/>
    <col min="19" max="19" width="12.33203125" style="31" bestFit="1" customWidth="1"/>
    <col min="20" max="20" width="12.5" style="31" customWidth="1"/>
    <col min="21" max="16384" width="10.83203125" style="31"/>
  </cols>
  <sheetData>
    <row r="1" spans="1:20" s="30" customFormat="1" ht="17" thickBot="1">
      <c r="A1" s="32" t="s">
        <v>234</v>
      </c>
    </row>
    <row r="2" spans="1:20" ht="18">
      <c r="B2" s="18"/>
      <c r="C2" s="19"/>
      <c r="D2" s="56" t="s">
        <v>891</v>
      </c>
      <c r="E2" s="56" t="s">
        <v>892</v>
      </c>
      <c r="F2" s="56" t="s">
        <v>751</v>
      </c>
      <c r="G2" s="21" t="s">
        <v>893</v>
      </c>
      <c r="H2" s="22" t="s">
        <v>893</v>
      </c>
      <c r="I2" s="23" t="s">
        <v>893</v>
      </c>
      <c r="J2" s="22" t="s">
        <v>893</v>
      </c>
      <c r="K2" s="21" t="s">
        <v>893</v>
      </c>
      <c r="L2" s="22" t="s">
        <v>893</v>
      </c>
      <c r="M2" s="24" t="s">
        <v>893</v>
      </c>
      <c r="N2" s="25" t="s">
        <v>893</v>
      </c>
      <c r="O2" s="25" t="s">
        <v>893</v>
      </c>
      <c r="P2" s="25" t="s">
        <v>893</v>
      </c>
      <c r="Q2" s="25" t="s">
        <v>893</v>
      </c>
      <c r="R2" s="25" t="s">
        <v>893</v>
      </c>
      <c r="S2" s="26" t="s">
        <v>894</v>
      </c>
      <c r="T2" s="27" t="s">
        <v>894</v>
      </c>
    </row>
    <row r="3" spans="1:20" ht="51">
      <c r="B3" s="28" t="s">
        <v>530</v>
      </c>
      <c r="C3" s="10" t="s">
        <v>531</v>
      </c>
      <c r="D3" s="55" t="s">
        <v>895</v>
      </c>
      <c r="E3" s="55" t="s">
        <v>896</v>
      </c>
      <c r="F3" s="123" t="s">
        <v>897</v>
      </c>
      <c r="G3" s="12" t="s">
        <v>878</v>
      </c>
      <c r="H3" s="13" t="s">
        <v>898</v>
      </c>
      <c r="I3" s="14" t="s">
        <v>899</v>
      </c>
      <c r="J3" s="13" t="s">
        <v>900</v>
      </c>
      <c r="K3" s="12" t="s">
        <v>901</v>
      </c>
      <c r="L3" s="13" t="s">
        <v>902</v>
      </c>
      <c r="M3" s="15" t="s">
        <v>536</v>
      </c>
      <c r="N3" s="72" t="s">
        <v>903</v>
      </c>
      <c r="O3" s="72" t="s">
        <v>904</v>
      </c>
      <c r="P3" s="72" t="s">
        <v>905</v>
      </c>
      <c r="Q3" s="72" t="s">
        <v>906</v>
      </c>
      <c r="R3" s="16" t="s">
        <v>538</v>
      </c>
      <c r="S3" s="17" t="s">
        <v>821</v>
      </c>
      <c r="T3" s="29" t="s">
        <v>822</v>
      </c>
    </row>
    <row r="4" spans="1:20">
      <c r="B4" s="424">
        <v>2022</v>
      </c>
      <c r="C4" s="425">
        <f>IF($B4=SMR!$E$9,B4-HOME!$A$9,IF($B4&lt;SMR!$E$9,"",IF($B4&gt;SMR!$D$30+SMR!$E$9,"",B4-HOME!$A$9)))</f>
        <v>0</v>
      </c>
      <c r="D4" s="426" t="str" cm="1">
        <f t="array" ref="D4">IF(B4=SMR!$E$9,"",IF(B4&lt;SMR!$E$9,"",IF(B4&gt;SMR!$D$30+SMR!$E$9,"",INDEX(Tb_Fuel[],MATCH(B4,Tb_Fuel[Year],0),HLOOKUP(SMR!$E$8&amp;" - Gas",'Fuel Data'!$BB$2:$BX$3,2,FALSE)+1))))</f>
        <v/>
      </c>
      <c r="E4" s="426" t="str" cm="1">
        <f t="array" ref="E4">IF(B4=SMR!$E$9,"",IF(B4&lt;SMR!$E$9,"",IF(B4&gt;SMR!$D$30+SMR!$E$9,"",INDEX(Tb_Fuel[],MATCH(B4,Tb_Fuel[Year],0),HLOOKUP(SMR!$E$8&amp;" - CO2 price",'Fuel Data'!$BB$2:$BX$3,2,FALSE)+1))))</f>
        <v/>
      </c>
      <c r="F4" s="426" t="str" cm="1">
        <f t="array" ref="F4">IF(B4=SMR!$E$9,"",IF(B4&lt;SMR!$E$9,"",IF(B4&gt;SMR!$D$30+SMR!$E$9,"",INDEX(Tb_Fuel[],MATCH(B4,Tb_Fuel[Year],0),HLOOKUP(SMR!$E$8&amp;" - Feed-in electricity price",'Fuel Data'!$BB$2:$BX$3,2,FALSE)+1))))</f>
        <v/>
      </c>
      <c r="G4" s="426">
        <f>IF(B4=SMR!$E$9,SMR!$D$48,IF(B4&lt;SMR!$E$9,"",IF(B4&gt;SMR!$D$30+SMR!$E$9,"",0)))</f>
        <v>1069.1716718497403</v>
      </c>
      <c r="H4" s="426">
        <f>IF(B4=SMR!$E$9,0,IF(B4&lt;SMR!$E$9,"",IF(B4&gt;SMR!$D$30+SMR!$E$9,"",SMR!$D$48*SMR!$D$29)))</f>
        <v>0</v>
      </c>
      <c r="I4" s="426">
        <f>IF($B4=SMR!$E$9,0,IF($B4&lt;SMR!$E$9,"",IF($B4&gt;SMR!$D$30+SMR!$E$9,"",IF(ISBLANK(SMR!$C$39),(D4*'General values'!$B$26/'General values'!$C$3)*SMR!$D$32*8760*(SMR!$D$34+SMR!$D$35),(SMR!$D$39*'General values'!$B$26/'General values'!$C$3)*SMR!$D$32*8760*(SMR!$D$34+SMR!$D$35)))))</f>
        <v>0</v>
      </c>
      <c r="J4" s="426">
        <f>IF($B4=SMR!$E$9,0,IF($B4&lt;SMR!$E$9,"",IF($B4&gt;SMR!$D$30+SMR!$E$9,"",SMR!$D$41*SMR!$D$55*SMR!$D$44*SMR!$D$60)))</f>
        <v>0</v>
      </c>
      <c r="K4" s="426">
        <f>IF($B4=SMR!$E$9,0,IF($B4&lt;SMR!$E$9,"",IF($B4&gt;SMR!$D$30+SMR!$E$9,"",IF(ISBLANK(SMR!$C$42),E4*(1-SMR!$D$44)*SMR!$D$55*SMR!$D$60,SMR!$D$42*(1-SMR!$D$44)*SMR!$D$55*SMR!$D$60))))</f>
        <v>0</v>
      </c>
      <c r="L4" s="426">
        <f>IF($B4=SMR!$E$9,0,IF($B4&lt;SMR!$E$9,"",IF($B4&gt;SMR!$D$30+SMR!$E$9,"",IF(ISBLANK(SMR!$C$40),-F4*S4*SMR!$D$37,-SMR!$C$40*S4*SMR!$D$37))))</f>
        <v>0</v>
      </c>
      <c r="M4" s="426">
        <f>IF($B4=SMR!$E$9,SUM(G4:L4),IF($B4&lt;SMR!$E$9,"",IF($B4&gt;SMR!$D$30+SMR!$E$9,"",SUM(G4:L4))))</f>
        <v>1069.1716718497403</v>
      </c>
      <c r="N4" s="426">
        <f>IF($B4=SMR!$E$9,I4/(1+SMR!$D$31)^'CFA SMR'!C4,IF($B4&lt;SMR!$E$9,"",IF($B4&gt;SMR!$D$30+SMR!$E$9,"",I4/(1+SMR!$D$31)^'CFA SMR'!C4)))</f>
        <v>0</v>
      </c>
      <c r="O4" s="426">
        <f>IF($B4=SMR!$E$9,J4/(1+SMR!$D$31)^'CFA SMR'!C4,IF($B4&lt;SMR!$E$9,"",IF($B4&gt;SMR!$D$30+SMR!$E$9,"",J4/(1+SMR!$D$31)^'CFA SMR'!C4)))</f>
        <v>0</v>
      </c>
      <c r="P4" s="426">
        <f>IF($B4=SMR!$E$9,K4/(1+SMR!$D$31)^'CFA SMR'!C4,IF($B4&lt;SMR!$E$9,"",IF($B4&gt;SMR!$D$30+SMR!$E$9,"",K4/(1+SMR!$D$31)^'CFA SMR'!C4)))</f>
        <v>0</v>
      </c>
      <c r="Q4" s="426">
        <f>IF($B4=SMR!$E$9,L4/(1+SMR!$D$31)^'CFA SMR'!C4,IF($B4&lt;SMR!$E$9,"",IF($B4&gt;SMR!$D$30+SMR!$E$9,"",L4/(1+SMR!$D$31)^'CFA SMR'!C4)))</f>
        <v>0</v>
      </c>
      <c r="R4" s="426">
        <f>IF($B4=SMR!$E$9,M4/(1+SMR!$D$31)^'CFA SMR'!C4,IF($B4&lt;SMR!$E$9,"",IF($B4&gt;SMR!$D$30+SMR!$E$9,"",M4/(1+SMR!$D$31)^'CFA SMR'!C4)))</f>
        <v>1069.1716718497403</v>
      </c>
      <c r="S4" s="429">
        <f>IF($B4=SMR!$E$9,0,IF($B4&lt;SMR!$E$9,"",IF($B4&gt;SMR!$D$30+SMR!$E$9,"",SMR!$D$60)))</f>
        <v>0</v>
      </c>
      <c r="T4" s="430">
        <f>IF($B4=SMR!$E$9,S4/(1+SMR!$D$31)^'CFA SMR'!C4,IF($B4&lt;SMR!$E$9,"",IF($B4&gt;SMR!$D$30+SMR!$E$9,"",S4/(1+SMR!$D$31)^'CFA SMR'!C4)))</f>
        <v>0</v>
      </c>
    </row>
    <row r="5" spans="1:20">
      <c r="B5" s="424">
        <v>2023</v>
      </c>
      <c r="C5" s="431">
        <f>IF($B5=SMR!$E$9,B5-HOME!$A$9,IF($B5&lt;SMR!$E$9,"",IF($B5&gt;SMR!$D$30+SMR!$E$9,"",B5-HOME!$A$9)))</f>
        <v>1</v>
      </c>
      <c r="D5" s="426" cm="1">
        <f t="array" ref="D5">IF(B5=SMR!$E$9,"",IF(B5&lt;SMR!$E$9,"",IF(B5&gt;SMR!$D$30+SMR!$E$9,"",INDEX(Tb_Fuel[],MATCH(B5,Tb_Fuel[Year],0),HLOOKUP(SMR!$E$8&amp;" - Gas",'Fuel Data'!$BB$2:$BX$3,2,FALSE)+1))))</f>
        <v>7.4424999999999991E-2</v>
      </c>
      <c r="E5" s="426" cm="1">
        <f t="array" ref="E5">IF(B5=SMR!$E$9,"",IF(B5&lt;SMR!$E$9,"",IF(B5&gt;SMR!$D$30+SMR!$E$9,"",INDEX(Tb_Fuel[],MATCH(B5,Tb_Fuel[Year],0),HLOOKUP(SMR!$E$8&amp;" - CO2 price",'Fuel Data'!$BB$2:$BX$3,2,FALSE)+1))))</f>
        <v>82.682844339223806</v>
      </c>
      <c r="F5" s="426" cm="1">
        <f t="array" ref="F5">IF(B5=SMR!$E$9,"",IF(B5&lt;SMR!$E$9,"",IF(B5&gt;SMR!$D$30+SMR!$E$9,"",INDEX(Tb_Fuel[],MATCH(B5,Tb_Fuel[Year],0),HLOOKUP(SMR!$E$8&amp;" - Feed-in electricity price",'Fuel Data'!$BB$2:$BX$3,2,FALSE)+1))))</f>
        <v>0</v>
      </c>
      <c r="G5" s="426">
        <f>IF(B5=SMR!$E$9,SMR!$D$48,IF(B5&lt;SMR!$E$9,"",IF(B5&gt;SMR!$D$30+SMR!$E$9,"",0)))</f>
        <v>0</v>
      </c>
      <c r="H5" s="426">
        <f>IF(B5=SMR!$E$9,0,IF(B5&lt;SMR!$E$9,"",IF(B5&gt;SMR!$D$30+SMR!$E$9,"",SMR!$D$48*SMR!$D$29)))</f>
        <v>42.018446703694792</v>
      </c>
      <c r="I5" s="426">
        <f>IF($B5=SMR!$E$9,0,IF($B5&lt;SMR!$E$9,"",IF($B5&gt;SMR!$D$30+SMR!$E$9,"",IF(ISBLANK(SMR!$C$39),(D5*'General values'!$B$26/'General values'!$C$3)*SMR!$D$32*8760*(SMR!$D$34+SMR!$D$35),(SMR!$D$39*'General values'!$B$26/'General values'!$C$3)*SMR!$D$32*8760*(SMR!$D$34+SMR!$D$35)))))</f>
        <v>991.85048777776626</v>
      </c>
      <c r="J5" s="426">
        <f>IF($B5=SMR!$E$9,0,IF($B5&lt;SMR!$E$9,"",IF($B5&gt;SMR!$D$30+SMR!$E$9,"",SMR!$D$41*SMR!$D$55*SMR!$D$44*SMR!$D$60)))</f>
        <v>66.007234467930715</v>
      </c>
      <c r="K5" s="426">
        <f>IF($B5=SMR!$E$9,0,IF($B5&lt;SMR!$E$9,"",IF($B5&gt;SMR!$D$30+SMR!$E$9,"",IF(ISBLANK(SMR!$C$42),E5*(1-SMR!$D$44)*SMR!$D$55*SMR!$D$60,SMR!$D$42*(1-SMR!$D$44)*SMR!$D$55*SMR!$D$60))))</f>
        <v>20.033277879728967</v>
      </c>
      <c r="L5" s="426">
        <f>IF($B5=SMR!$E$9,0,IF($B5&lt;SMR!$E$9,"",IF($B5&gt;SMR!$D$30+SMR!$E$9,"",IF(ISBLANK(SMR!$C$40),-F5*S5*SMR!$D$37,-SMR!$C$40*S5*SMR!$D$37))))</f>
        <v>0</v>
      </c>
      <c r="M5" s="426">
        <f>IF($B5=SMR!$E$9,SUM(G5:L5),IF($B5&lt;SMR!$E$9,"",IF($B5&gt;SMR!$D$30+SMR!$E$9,"",SUM(G5:L5))))</f>
        <v>1119.9094468291207</v>
      </c>
      <c r="N5" s="426">
        <f>IF($B5=SMR!$E$9,I5/(1+SMR!$D$31)^'CFA SMR'!C5,IF($B5&lt;SMR!$E$9,"",IF($B5&gt;SMR!$D$30+SMR!$E$9,"",I5/(1+SMR!$D$31)^'CFA SMR'!C5)))</f>
        <v>934.7502062244489</v>
      </c>
      <c r="O5" s="426">
        <f>IF($B5=SMR!$E$9,J5/(1+SMR!$D$31)^'CFA SMR'!C5,IF($B5&lt;SMR!$E$9,"",IF($B5&gt;SMR!$D$30+SMR!$E$9,"",J5/(1+SMR!$D$31)^'CFA SMR'!C5)))</f>
        <v>62.20723465029775</v>
      </c>
      <c r="P5" s="426">
        <f>IF($B5=SMR!$E$9,K5/(1+SMR!$D$31)^'CFA SMR'!C5,IF($B5&lt;SMR!$E$9,"",IF($B5&gt;SMR!$D$30+SMR!$E$9,"",K5/(1+SMR!$D$31)^'CFA SMR'!C5)))</f>
        <v>18.879973201791788</v>
      </c>
      <c r="Q5" s="426">
        <f>IF($B5=SMR!$E$9,L5/(1+SMR!$D$31)^'CFA SMR'!C5,IF($B5&lt;SMR!$E$9,"",IF($B5&gt;SMR!$D$30+SMR!$E$9,"",L5/(1+SMR!$D$31)^'CFA SMR'!C5)))</f>
        <v>0</v>
      </c>
      <c r="R5" s="426">
        <f>IF($B5=SMR!$E$9,M5/(1+SMR!$D$31)^'CFA SMR'!C5,IF($B5&lt;SMR!$E$9,"",IF($B5&gt;SMR!$D$30+SMR!$E$9,"",M5/(1+SMR!$D$31)^'CFA SMR'!C5)))</f>
        <v>1055.436882147083</v>
      </c>
      <c r="S5" s="429">
        <f>IF($B5=SMR!$E$9,0,IF($B5&lt;SMR!$E$9,"",IF($B5&gt;SMR!$D$30+SMR!$E$9,"",SMR!$D$60)))</f>
        <v>249.68496849684971</v>
      </c>
      <c r="T5" s="430">
        <f>IF($B5=SMR!$E$9,S5/(1+SMR!$D$31)^'CFA SMR'!C5,IF($B5&lt;SMR!$E$9,"",IF($B5&gt;SMR!$D$30+SMR!$E$9,"",S5/(1+SMR!$D$31)^'CFA SMR'!C5)))</f>
        <v>235.31074357435742</v>
      </c>
    </row>
    <row r="6" spans="1:20">
      <c r="B6" s="424">
        <v>2024</v>
      </c>
      <c r="C6" s="431">
        <f>IF($B6=SMR!$E$9,B6-HOME!$A$9,IF($B6&lt;SMR!$E$9,"",IF($B6&gt;SMR!$D$30+SMR!$E$9,"",B6-HOME!$A$9)))</f>
        <v>2</v>
      </c>
      <c r="D6" s="426" cm="1">
        <f t="array" ref="D6">IF(B6=SMR!$E$9,"",IF(B6&lt;SMR!$E$9,"",IF(B6&gt;SMR!$D$30+SMR!$E$9,"",INDEX(Tb_Fuel[],MATCH(B6,Tb_Fuel[Year],0),HLOOKUP(SMR!$E$8&amp;" - Gas",'Fuel Data'!$BB$2:$BX$3,2,FALSE)+1))))</f>
        <v>5.6799999999999996E-2</v>
      </c>
      <c r="E6" s="426" cm="1">
        <f t="array" ref="E6">IF(B6=SMR!$E$9,"",IF(B6&lt;SMR!$E$9,"",IF(B6&gt;SMR!$D$30+SMR!$E$9,"",INDEX(Tb_Fuel[],MATCH(B6,Tb_Fuel[Year],0),HLOOKUP(SMR!$E$8&amp;" - CO2 price",'Fuel Data'!$BB$2:$BX$3,2,FALSE)+1))))</f>
        <v>85.365688678447611</v>
      </c>
      <c r="F6" s="426" cm="1">
        <f t="array" ref="F6">IF(B6=SMR!$E$9,"",IF(B6&lt;SMR!$E$9,"",IF(B6&gt;SMR!$D$30+SMR!$E$9,"",INDEX(Tb_Fuel[],MATCH(B6,Tb_Fuel[Year],0),HLOOKUP(SMR!$E$8&amp;" - Feed-in electricity price",'Fuel Data'!$BB$2:$BX$3,2,FALSE)+1))))</f>
        <v>0</v>
      </c>
      <c r="G6" s="426">
        <f>IF(B6=SMR!$E$9,SMR!$D$48,IF(B6&lt;SMR!$E$9,"",IF(B6&gt;SMR!$D$30+SMR!$E$9,"",0)))</f>
        <v>0</v>
      </c>
      <c r="H6" s="426">
        <f>IF(B6=SMR!$E$9,0,IF(B6&lt;SMR!$E$9,"",IF(B6&gt;SMR!$D$30+SMR!$E$9,"",SMR!$D$48*SMR!$D$29)))</f>
        <v>42.018446703694792</v>
      </c>
      <c r="I6" s="426">
        <f>IF($B6=SMR!$E$9,0,IF($B6&lt;SMR!$E$9,"",IF($B6&gt;SMR!$D$30+SMR!$E$9,"",IF(ISBLANK(SMR!$C$39),(D6*'General values'!$B$26/'General values'!$C$3)*SMR!$D$32*8760*(SMR!$D$34+SMR!$D$35),(SMR!$D$39*'General values'!$B$26/'General values'!$C$3)*SMR!$D$32*8760*(SMR!$D$34+SMR!$D$35)))))</f>
        <v>756.96483313103283</v>
      </c>
      <c r="J6" s="426">
        <f>IF($B6=SMR!$E$9,0,IF($B6&lt;SMR!$E$9,"",IF($B6&gt;SMR!$D$30+SMR!$E$9,"",SMR!$D$41*SMR!$D$55*SMR!$D$44*SMR!$D$60)))</f>
        <v>66.007234467930715</v>
      </c>
      <c r="K6" s="426">
        <f>IF($B6=SMR!$E$9,0,IF($B6&lt;SMR!$E$9,"",IF($B6&gt;SMR!$D$30+SMR!$E$9,"",IF(ISBLANK(SMR!$C$42),E6*(1-SMR!$D$44)*SMR!$D$55*SMR!$D$60,SMR!$D$42*(1-SMR!$D$44)*SMR!$D$55*SMR!$D$60))))</f>
        <v>20.683305906525227</v>
      </c>
      <c r="L6" s="426">
        <f>IF($B6=SMR!$E$9,0,IF($B6&lt;SMR!$E$9,"",IF($B6&gt;SMR!$D$30+SMR!$E$9,"",IF(ISBLANK(SMR!$C$40),-F6*S6*SMR!$D$37,-SMR!$C$40*S6*SMR!$D$37))))</f>
        <v>0</v>
      </c>
      <c r="M6" s="426">
        <f>IF($B6=SMR!$E$9,SUM(G6:L6),IF($B6&lt;SMR!$E$9,"",IF($B6&gt;SMR!$D$30+SMR!$E$9,"",SUM(G6:L6))))</f>
        <v>885.67382020918365</v>
      </c>
      <c r="N6" s="426">
        <f>IF($B6=SMR!$E$9,I6/(1+SMR!$D$31)^'CFA SMR'!C6,IF($B6&lt;SMR!$E$9,"",IF($B6&gt;SMR!$D$30+SMR!$E$9,"",I6/(1+SMR!$D$31)^'CFA SMR'!C6)))</f>
        <v>672.31750715165276</v>
      </c>
      <c r="O6" s="426">
        <f>IF($B6=SMR!$E$9,J6/(1+SMR!$D$31)^'CFA SMR'!C6,IF($B6&lt;SMR!$E$9,"",IF($B6&gt;SMR!$D$30+SMR!$E$9,"",J6/(1+SMR!$D$31)^'CFA SMR'!C6)))</f>
        <v>58.625998711054912</v>
      </c>
      <c r="P6" s="426">
        <f>IF($B6=SMR!$E$9,K6/(1+SMR!$D$31)^'CFA SMR'!C6,IF($B6&lt;SMR!$E$9,"",IF($B6&gt;SMR!$D$30+SMR!$E$9,"",K6/(1+SMR!$D$31)^'CFA SMR'!C6)))</f>
        <v>18.37040250497736</v>
      </c>
      <c r="Q6" s="426">
        <f>IF($B6=SMR!$E$9,L6/(1+SMR!$D$31)^'CFA SMR'!C6,IF($B6&lt;SMR!$E$9,"",IF($B6&gt;SMR!$D$30+SMR!$E$9,"",L6/(1+SMR!$D$31)^'CFA SMR'!C6)))</f>
        <v>0</v>
      </c>
      <c r="R6" s="426">
        <f>IF($B6=SMR!$E$9,M6/(1+SMR!$D$31)^'CFA SMR'!C6,IF($B6&lt;SMR!$E$9,"",IF($B6&gt;SMR!$D$30+SMR!$E$9,"",M6/(1+SMR!$D$31)^'CFA SMR'!C6)))</f>
        <v>786.6336570611129</v>
      </c>
      <c r="S6" s="429">
        <f>IF($B6=SMR!$E$9,0,IF($B6&lt;SMR!$E$9,"",IF($B6&gt;SMR!$D$30+SMR!$E$9,"",SMR!$D$60)))</f>
        <v>249.68496849684971</v>
      </c>
      <c r="T6" s="430">
        <f>IF($B6=SMR!$E$9,S6/(1+SMR!$D$31)^'CFA SMR'!C6,IF($B6&lt;SMR!$E$9,"",IF($B6&gt;SMR!$D$30+SMR!$E$9,"",S6/(1+SMR!$D$31)^'CFA SMR'!C6)))</f>
        <v>221.76403479497253</v>
      </c>
    </row>
    <row r="7" spans="1:20">
      <c r="B7" s="424">
        <v>2025</v>
      </c>
      <c r="C7" s="431">
        <f>IF($B7=SMR!$E$9,B7-HOME!$A$9,IF($B7&lt;SMR!$E$9,"",IF($B7&gt;SMR!$D$30+SMR!$E$9,"",B7-HOME!$A$9)))</f>
        <v>3</v>
      </c>
      <c r="D7" s="426" cm="1">
        <f t="array" ref="D7">IF(B7=SMR!$E$9,"",IF(B7&lt;SMR!$E$9,"",IF(B7&gt;SMR!$D$30+SMR!$E$9,"",INDEX(Tb_Fuel[],MATCH(B7,Tb_Fuel[Year],0),HLOOKUP(SMR!$E$8&amp;" - Gas",'Fuel Data'!$BB$2:$BX$3,2,FALSE)+1))))</f>
        <v>4.4400000000000002E-2</v>
      </c>
      <c r="E7" s="426" cm="1">
        <f t="array" ref="E7">IF(B7=SMR!$E$9,"",IF(B7&lt;SMR!$E$9,"",IF(B7&gt;SMR!$D$30+SMR!$E$9,"",INDEX(Tb_Fuel[],MATCH(B7,Tb_Fuel[Year],0),HLOOKUP(SMR!$E$8&amp;" - CO2 price",'Fuel Data'!$BB$2:$BX$3,2,FALSE)+1))))</f>
        <v>88.048533017671431</v>
      </c>
      <c r="F7" s="426" cm="1">
        <f t="array" ref="F7">IF(B7=SMR!$E$9,"",IF(B7&lt;SMR!$E$9,"",IF(B7&gt;SMR!$D$30+SMR!$E$9,"",INDEX(Tb_Fuel[],MATCH(B7,Tb_Fuel[Year],0),HLOOKUP(SMR!$E$8&amp;" - Feed-in electricity price",'Fuel Data'!$BB$2:$BX$3,2,FALSE)+1))))</f>
        <v>0</v>
      </c>
      <c r="G7" s="426">
        <f>IF(B7=SMR!$E$9,SMR!$D$48,IF(B7&lt;SMR!$E$9,"",IF(B7&gt;SMR!$D$30+SMR!$E$9,"",0)))</f>
        <v>0</v>
      </c>
      <c r="H7" s="426">
        <f>IF(B7=SMR!$E$9,0,IF(B7&lt;SMR!$E$9,"",IF(B7&gt;SMR!$D$30+SMR!$E$9,"",SMR!$D$48*SMR!$D$29)))</f>
        <v>42.018446703694792</v>
      </c>
      <c r="I7" s="426">
        <f>IF($B7=SMR!$E$9,0,IF($B7&lt;SMR!$E$9,"",IF($B7&gt;SMR!$D$30+SMR!$E$9,"",IF(ISBLANK(SMR!$C$39),(D7*'General values'!$B$26/'General values'!$C$3)*SMR!$D$32*8760*(SMR!$D$34+SMR!$D$35),(SMR!$D$39*'General values'!$B$26/'General values'!$C$3)*SMR!$D$32*8760*(SMR!$D$34+SMR!$D$35)))))</f>
        <v>591.71194702496246</v>
      </c>
      <c r="J7" s="426">
        <f>IF($B7=SMR!$E$9,0,IF($B7&lt;SMR!$E$9,"",IF($B7&gt;SMR!$D$30+SMR!$E$9,"",SMR!$D$41*SMR!$D$55*SMR!$D$44*SMR!$D$60)))</f>
        <v>66.007234467930715</v>
      </c>
      <c r="K7" s="426">
        <f>IF($B7=SMR!$E$9,0,IF($B7&lt;SMR!$E$9,"",IF($B7&gt;SMR!$D$30+SMR!$E$9,"",IF(ISBLANK(SMR!$C$42),E7*(1-SMR!$D$44)*SMR!$D$55*SMR!$D$60,SMR!$D$42*(1-SMR!$D$44)*SMR!$D$55*SMR!$D$60))))</f>
        <v>21.333333933321494</v>
      </c>
      <c r="L7" s="426">
        <f>IF($B7=SMR!$E$9,0,IF($B7&lt;SMR!$E$9,"",IF($B7&gt;SMR!$D$30+SMR!$E$9,"",IF(ISBLANK(SMR!$C$40),-F7*S7*SMR!$D$37,-SMR!$C$40*S7*SMR!$D$37))))</f>
        <v>0</v>
      </c>
      <c r="M7" s="426">
        <f>IF($B7=SMR!$E$9,SUM(G7:L7),IF($B7&lt;SMR!$E$9,"",IF($B7&gt;SMR!$D$30+SMR!$E$9,"",SUM(G7:L7))))</f>
        <v>721.07096212990939</v>
      </c>
      <c r="N7" s="426">
        <f>IF($B7=SMR!$E$9,I7/(1+SMR!$D$31)^'CFA SMR'!C7,IF($B7&lt;SMR!$E$9,"",IF($B7&gt;SMR!$D$30+SMR!$E$9,"",I7/(1+SMR!$D$31)^'CFA SMR'!C7)))</f>
        <v>495.2886926548386</v>
      </c>
      <c r="O7" s="426">
        <f>IF($B7=SMR!$E$9,J7/(1+SMR!$D$31)^'CFA SMR'!C7,IF($B7&lt;SMR!$E$9,"",IF($B7&gt;SMR!$D$30+SMR!$E$9,"",J7/(1+SMR!$D$31)^'CFA SMR'!C7)))</f>
        <v>55.250932535258755</v>
      </c>
      <c r="P7" s="426">
        <f>IF($B7=SMR!$E$9,K7/(1+SMR!$D$31)^'CFA SMR'!C7,IF($B7&lt;SMR!$E$9,"",IF($B7&gt;SMR!$D$30+SMR!$E$9,"",K7/(1+SMR!$D$31)^'CFA SMR'!C7)))</f>
        <v>17.856930431993046</v>
      </c>
      <c r="Q7" s="426">
        <f>IF($B7=SMR!$E$9,L7/(1+SMR!$D$31)^'CFA SMR'!C7,IF($B7&lt;SMR!$E$9,"",IF($B7&gt;SMR!$D$30+SMR!$E$9,"",L7/(1+SMR!$D$31)^'CFA SMR'!C7)))</f>
        <v>0</v>
      </c>
      <c r="R7" s="426">
        <f>IF($B7=SMR!$E$9,M7/(1+SMR!$D$31)^'CFA SMR'!C7,IF($B7&lt;SMR!$E$9,"",IF($B7&gt;SMR!$D$30+SMR!$E$9,"",M7/(1+SMR!$D$31)^'CFA SMR'!C7)))</f>
        <v>603.5678271164312</v>
      </c>
      <c r="S7" s="429">
        <f>IF($B7=SMR!$E$9,0,IF($B7&lt;SMR!$E$9,"",IF($B7&gt;SMR!$D$30+SMR!$E$9,"",SMR!$D$60)))</f>
        <v>249.68496849684971</v>
      </c>
      <c r="T7" s="430">
        <f>IF($B7=SMR!$E$9,S7/(1+SMR!$D$31)^'CFA SMR'!C7,IF($B7&lt;SMR!$E$9,"",IF($B7&gt;SMR!$D$30+SMR!$E$9,"",S7/(1+SMR!$D$31)^'CFA SMR'!C7)))</f>
        <v>208.99720251406748</v>
      </c>
    </row>
    <row r="8" spans="1:20">
      <c r="B8" s="424">
        <v>2026</v>
      </c>
      <c r="C8" s="431">
        <f>IF($B8=SMR!$E$9,B8-HOME!$A$9,IF($B8&lt;SMR!$E$9,"",IF($B8&gt;SMR!$D$30+SMR!$E$9,"",B8-HOME!$A$9)))</f>
        <v>4</v>
      </c>
      <c r="D8" s="426" cm="1">
        <f t="array" ref="D8">IF(B8=SMR!$E$9,"",IF(B8&lt;SMR!$E$9,"",IF(B8&gt;SMR!$D$30+SMR!$E$9,"",INDEX(Tb_Fuel[],MATCH(B8,Tb_Fuel[Year],0),HLOOKUP(SMR!$E$8&amp;" - Gas",'Fuel Data'!$BB$2:$BX$3,2,FALSE)+1))))</f>
        <v>3.2925000000000003E-2</v>
      </c>
      <c r="E8" s="426" cm="1">
        <f t="array" ref="E8">IF(B8=SMR!$E$9,"",IF(B8&lt;SMR!$E$9,"",IF(B8&gt;SMR!$D$30+SMR!$E$9,"",INDEX(Tb_Fuel[],MATCH(B8,Tb_Fuel[Year],0),HLOOKUP(SMR!$E$8&amp;" - CO2 price",'Fuel Data'!$BB$2:$BX$3,2,FALSE)+1))))</f>
        <v>90.731377356895237</v>
      </c>
      <c r="F8" s="426" cm="1">
        <f t="array" ref="F8">IF(B8=SMR!$E$9,"",IF(B8&lt;SMR!$E$9,"",IF(B8&gt;SMR!$D$30+SMR!$E$9,"",INDEX(Tb_Fuel[],MATCH(B8,Tb_Fuel[Year],0),HLOOKUP(SMR!$E$8&amp;" - Feed-in electricity price",'Fuel Data'!$BB$2:$BX$3,2,FALSE)+1))))</f>
        <v>0</v>
      </c>
      <c r="G8" s="426">
        <f>IF(B8=SMR!$E$9,SMR!$D$48,IF(B8&lt;SMR!$E$9,"",IF(B8&gt;SMR!$D$30+SMR!$E$9,"",0)))</f>
        <v>0</v>
      </c>
      <c r="H8" s="426">
        <f>IF(B8=SMR!$E$9,0,IF(B8&lt;SMR!$E$9,"",IF(B8&gt;SMR!$D$30+SMR!$E$9,"",SMR!$D$48*SMR!$D$29)))</f>
        <v>42.018446703694792</v>
      </c>
      <c r="I8" s="426">
        <f>IF($B8=SMR!$E$9,0,IF($B8&lt;SMR!$E$9,"",IF($B8&gt;SMR!$D$30+SMR!$E$9,"",IF(ISBLANK(SMR!$C$39),(D8*'General values'!$B$26/'General values'!$C$3)*SMR!$D$32*8760*(SMR!$D$34+SMR!$D$35),(SMR!$D$39*'General values'!$B$26/'General values'!$C$3)*SMR!$D$32*8760*(SMR!$D$34+SMR!$D$35)))))</f>
        <v>438.7863931485785</v>
      </c>
      <c r="J8" s="426">
        <f>IF($B8=SMR!$E$9,0,IF($B8&lt;SMR!$E$9,"",IF($B8&gt;SMR!$D$30+SMR!$E$9,"",SMR!$D$41*SMR!$D$55*SMR!$D$44*SMR!$D$60)))</f>
        <v>66.007234467930715</v>
      </c>
      <c r="K8" s="426">
        <f>IF($B8=SMR!$E$9,0,IF($B8&lt;SMR!$E$9,"",IF($B8&gt;SMR!$D$30+SMR!$E$9,"",IF(ISBLANK(SMR!$C$42),E8*(1-SMR!$D$44)*SMR!$D$55*SMR!$D$60,SMR!$D$42*(1-SMR!$D$44)*SMR!$D$55*SMR!$D$60))))</f>
        <v>21.983361960117758</v>
      </c>
      <c r="L8" s="426">
        <f>IF($B8=SMR!$E$9,0,IF($B8&lt;SMR!$E$9,"",IF($B8&gt;SMR!$D$30+SMR!$E$9,"",IF(ISBLANK(SMR!$C$40),-F8*S8*SMR!$D$37,-SMR!$C$40*S8*SMR!$D$37))))</f>
        <v>0</v>
      </c>
      <c r="M8" s="426">
        <f>IF($B8=SMR!$E$9,SUM(G8:L8),IF($B8&lt;SMR!$E$9,"",IF($B8&gt;SMR!$D$30+SMR!$E$9,"",SUM(G8:L8))))</f>
        <v>568.79543628032184</v>
      </c>
      <c r="N8" s="426">
        <f>IF($B8=SMR!$E$9,I8/(1+SMR!$D$31)^'CFA SMR'!C8,IF($B8&lt;SMR!$E$9,"",IF($B8&gt;SMR!$D$30+SMR!$E$9,"",I8/(1+SMR!$D$31)^'CFA SMR'!C8)))</f>
        <v>346.13904024496281</v>
      </c>
      <c r="O8" s="426">
        <f>IF($B8=SMR!$E$9,J8/(1+SMR!$D$31)^'CFA SMR'!C8,IF($B8&lt;SMR!$E$9,"",IF($B8&gt;SMR!$D$30+SMR!$E$9,"",J8/(1+SMR!$D$31)^'CFA SMR'!C8)))</f>
        <v>52.070167044166425</v>
      </c>
      <c r="P8" s="426">
        <f>IF($B8=SMR!$E$9,K8/(1+SMR!$D$31)^'CFA SMR'!C8,IF($B8&lt;SMR!$E$9,"",IF($B8&gt;SMR!$D$30+SMR!$E$9,"",K8/(1+SMR!$D$31)^'CFA SMR'!C8)))</f>
        <v>17.34169502301814</v>
      </c>
      <c r="Q8" s="426">
        <f>IF($B8=SMR!$E$9,L8/(1+SMR!$D$31)^'CFA SMR'!C8,IF($B8&lt;SMR!$E$9,"",IF($B8&gt;SMR!$D$30+SMR!$E$9,"",L8/(1+SMR!$D$31)^'CFA SMR'!C8)))</f>
        <v>0</v>
      </c>
      <c r="R8" s="426">
        <f>IF($B8=SMR!$E$9,M8/(1+SMR!$D$31)^'CFA SMR'!C8,IF($B8&lt;SMR!$E$9,"",IF($B8&gt;SMR!$D$30+SMR!$E$9,"",M8/(1+SMR!$D$31)^'CFA SMR'!C8)))</f>
        <v>448.69738324615435</v>
      </c>
      <c r="S8" s="429">
        <f>IF($B8=SMR!$E$9,0,IF($B8&lt;SMR!$E$9,"",IF($B8&gt;SMR!$D$30+SMR!$E$9,"",SMR!$D$60)))</f>
        <v>249.68496849684971</v>
      </c>
      <c r="T8" s="430">
        <f>IF($B8=SMR!$E$9,S8/(1+SMR!$D$31)^'CFA SMR'!C8,IF($B8&lt;SMR!$E$9,"",IF($B8&gt;SMR!$D$30+SMR!$E$9,"",S8/(1+SMR!$D$31)^'CFA SMR'!C8)))</f>
        <v>196.96534967488955</v>
      </c>
    </row>
    <row r="9" spans="1:20">
      <c r="B9" s="424">
        <v>2027</v>
      </c>
      <c r="C9" s="431">
        <f>IF($B9=SMR!$E$9,B9-HOME!$A$9,IF($B9&lt;SMR!$E$9,"",IF($B9&gt;SMR!$D$30+SMR!$E$9,"",B9-HOME!$A$9)))</f>
        <v>5</v>
      </c>
      <c r="D9" s="426" cm="1">
        <f t="array" ref="D9">IF(B9=SMR!$E$9,"",IF(B9&lt;SMR!$E$9,"",IF(B9&gt;SMR!$D$30+SMR!$E$9,"",INDEX(Tb_Fuel[],MATCH(B9,Tb_Fuel[Year],0),HLOOKUP(SMR!$E$8&amp;" - Gas",'Fuel Data'!$BB$2:$BX$3,2,FALSE)+1))))</f>
        <v>2.9525000000000003E-2</v>
      </c>
      <c r="E9" s="426" cm="1">
        <f t="array" ref="E9">IF(B9=SMR!$E$9,"",IF(B9&lt;SMR!$E$9,"",IF(B9&gt;SMR!$D$30+SMR!$E$9,"",INDEX(Tb_Fuel[],MATCH(B9,Tb_Fuel[Year],0),HLOOKUP(SMR!$E$8&amp;" - CO2 price",'Fuel Data'!$BB$2:$BX$3,2,FALSE)+1))))</f>
        <v>93.414221696119043</v>
      </c>
      <c r="F9" s="426" cm="1">
        <f t="array" ref="F9">IF(B9=SMR!$E$9,"",IF(B9&lt;SMR!$E$9,"",IF(B9&gt;SMR!$D$30+SMR!$E$9,"",INDEX(Tb_Fuel[],MATCH(B9,Tb_Fuel[Year],0),HLOOKUP(SMR!$E$8&amp;" - Feed-in electricity price",'Fuel Data'!$BB$2:$BX$3,2,FALSE)+1))))</f>
        <v>0</v>
      </c>
      <c r="G9" s="426">
        <f>IF(B9=SMR!$E$9,SMR!$D$48,IF(B9&lt;SMR!$E$9,"",IF(B9&gt;SMR!$D$30+SMR!$E$9,"",0)))</f>
        <v>0</v>
      </c>
      <c r="H9" s="426">
        <f>IF(B9=SMR!$E$9,0,IF(B9&lt;SMR!$E$9,"",IF(B9&gt;SMR!$D$30+SMR!$E$9,"",SMR!$D$48*SMR!$D$29)))</f>
        <v>42.018446703694792</v>
      </c>
      <c r="I9" s="426">
        <f>IF($B9=SMR!$E$9,0,IF($B9&lt;SMR!$E$9,"",IF($B9&gt;SMR!$D$30+SMR!$E$9,"",IF(ISBLANK(SMR!$C$39),(D9*'General values'!$B$26/'General values'!$C$3)*SMR!$D$32*8760*(SMR!$D$34+SMR!$D$35),(SMR!$D$39*'General values'!$B$26/'General values'!$C$3)*SMR!$D$32*8760*(SMR!$D$34+SMR!$D$35)))))</f>
        <v>393.47511792594628</v>
      </c>
      <c r="J9" s="426">
        <f>IF($B9=SMR!$E$9,0,IF($B9&lt;SMR!$E$9,"",IF($B9&gt;SMR!$D$30+SMR!$E$9,"",SMR!$D$41*SMR!$D$55*SMR!$D$44*SMR!$D$60)))</f>
        <v>66.007234467930715</v>
      </c>
      <c r="K9" s="426">
        <f>IF($B9=SMR!$E$9,0,IF($B9&lt;SMR!$E$9,"",IF($B9&gt;SMR!$D$30+SMR!$E$9,"",IF(ISBLANK(SMR!$C$42),E9*(1-SMR!$D$44)*SMR!$D$55*SMR!$D$60,SMR!$D$42*(1-SMR!$D$44)*SMR!$D$55*SMR!$D$60))))</f>
        <v>22.633389986914025</v>
      </c>
      <c r="L9" s="426">
        <f>IF($B9=SMR!$E$9,0,IF($B9&lt;SMR!$E$9,"",IF($B9&gt;SMR!$D$30+SMR!$E$9,"",IF(ISBLANK(SMR!$C$40),-F9*S9*SMR!$D$37,-SMR!$C$40*S9*SMR!$D$37))))</f>
        <v>0</v>
      </c>
      <c r="M9" s="426">
        <f>IF($B9=SMR!$E$9,SUM(G9:L9),IF($B9&lt;SMR!$E$9,"",IF($B9&gt;SMR!$D$30+SMR!$E$9,"",SUM(G9:L9))))</f>
        <v>524.1341890844858</v>
      </c>
      <c r="N9" s="426">
        <f>IF($B9=SMR!$E$9,I9/(1+SMR!$D$31)^'CFA SMR'!C9,IF($B9&lt;SMR!$E$9,"",IF($B9&gt;SMR!$D$30+SMR!$E$9,"",I9/(1+SMR!$D$31)^'CFA SMR'!C9)))</f>
        <v>292.52572623012867</v>
      </c>
      <c r="O9" s="426">
        <f>IF($B9=SMR!$E$9,J9/(1+SMR!$D$31)^'CFA SMR'!C9,IF($B9&lt;SMR!$E$9,"",IF($B9&gt;SMR!$D$30+SMR!$E$9,"",J9/(1+SMR!$D$31)^'CFA SMR'!C9)))</f>
        <v>49.072516455304338</v>
      </c>
      <c r="P9" s="426">
        <f>IF($B9=SMR!$E$9,K9/(1+SMR!$D$31)^'CFA SMR'!C9,IF($B9&lt;SMR!$E$9,"",IF($B9&gt;SMR!$D$30+SMR!$E$9,"",K9/(1+SMR!$D$31)^'CFA SMR'!C9)))</f>
        <v>16.826601076761911</v>
      </c>
      <c r="Q9" s="426">
        <f>IF($B9=SMR!$E$9,L9/(1+SMR!$D$31)^'CFA SMR'!C9,IF($B9&lt;SMR!$E$9,"",IF($B9&gt;SMR!$D$30+SMR!$E$9,"",L9/(1+SMR!$D$31)^'CFA SMR'!C9)))</f>
        <v>0</v>
      </c>
      <c r="R9" s="426">
        <f>IF($B9=SMR!$E$9,M9/(1+SMR!$D$31)^'CFA SMR'!C9,IF($B9&lt;SMR!$E$9,"",IF($B9&gt;SMR!$D$30+SMR!$E$9,"",M9/(1+SMR!$D$31)^'CFA SMR'!C9)))</f>
        <v>389.66310020354274</v>
      </c>
      <c r="S9" s="429">
        <f>IF($B9=SMR!$E$9,0,IF($B9&lt;SMR!$E$9,"",IF($B9&gt;SMR!$D$30+SMR!$E$9,"",SMR!$D$60)))</f>
        <v>249.68496849684971</v>
      </c>
      <c r="T9" s="430">
        <f>IF($B9=SMR!$E$9,S9/(1+SMR!$D$31)^'CFA SMR'!C9,IF($B9&lt;SMR!$E$9,"",IF($B9&gt;SMR!$D$30+SMR!$E$9,"",S9/(1+SMR!$D$31)^'CFA SMR'!C9)))</f>
        <v>185.62616391930041</v>
      </c>
    </row>
    <row r="10" spans="1:20">
      <c r="B10" s="424">
        <v>2028</v>
      </c>
      <c r="C10" s="431">
        <f>IF($B10=SMR!$E$9,B10-HOME!$A$9,IF($B10&lt;SMR!$E$9,"",IF($B10&gt;SMR!$D$30+SMR!$E$9,"",B10-HOME!$A$9)))</f>
        <v>6</v>
      </c>
      <c r="D10" s="426" cm="1">
        <f t="array" ref="D10">IF(B10=SMR!$E$9,"",IF(B10&lt;SMR!$E$9,"",IF(B10&gt;SMR!$D$30+SMR!$E$9,"",INDEX(Tb_Fuel[],MATCH(B10,Tb_Fuel[Year],0),HLOOKUP(SMR!$E$8&amp;" - Gas",'Fuel Data'!$BB$2:$BX$3,2,FALSE)+1))))</f>
        <v>2.8674999999999999E-2</v>
      </c>
      <c r="E10" s="426" cm="1">
        <f t="array" ref="E10">IF(B10=SMR!$E$9,"",IF(B10&lt;SMR!$E$9,"",IF(B10&gt;SMR!$D$30+SMR!$E$9,"",INDEX(Tb_Fuel[],MATCH(B10,Tb_Fuel[Year],0),HLOOKUP(SMR!$E$8&amp;" - CO2 price",'Fuel Data'!$BB$2:$BX$3,2,FALSE)+1))))</f>
        <v>96.097066035342863</v>
      </c>
      <c r="F10" s="426" cm="1">
        <f t="array" ref="F10">IF(B10=SMR!$E$9,"",IF(B10&lt;SMR!$E$9,"",IF(B10&gt;SMR!$D$30+SMR!$E$9,"",INDEX(Tb_Fuel[],MATCH(B10,Tb_Fuel[Year],0),HLOOKUP(SMR!$E$8&amp;" - Feed-in electricity price",'Fuel Data'!$BB$2:$BX$3,2,FALSE)+1))))</f>
        <v>0</v>
      </c>
      <c r="G10" s="426">
        <f>IF(B10=SMR!$E$9,SMR!$D$48,IF(B10&lt;SMR!$E$9,"",IF(B10&gt;SMR!$D$30+SMR!$E$9,"",0)))</f>
        <v>0</v>
      </c>
      <c r="H10" s="426">
        <f>IF(B10=SMR!$E$9,0,IF(B10&lt;SMR!$E$9,"",IF(B10&gt;SMR!$D$30+SMR!$E$9,"",SMR!$D$48*SMR!$D$29)))</f>
        <v>42.018446703694792</v>
      </c>
      <c r="I10" s="426">
        <f>IF($B10=SMR!$E$9,0,IF($B10&lt;SMR!$E$9,"",IF($B10&gt;SMR!$D$30+SMR!$E$9,"",IF(ISBLANK(SMR!$C$39),(D10*'General values'!$B$26/'General values'!$C$3)*SMR!$D$32*8760*(SMR!$D$34+SMR!$D$35),(SMR!$D$39*'General values'!$B$26/'General values'!$C$3)*SMR!$D$32*8760*(SMR!$D$34+SMR!$D$35)))))</f>
        <v>382.14729912028821</v>
      </c>
      <c r="J10" s="426">
        <f>IF($B10=SMR!$E$9,0,IF($B10&lt;SMR!$E$9,"",IF($B10&gt;SMR!$D$30+SMR!$E$9,"",SMR!$D$41*SMR!$D$55*SMR!$D$44*SMR!$D$60)))</f>
        <v>66.007234467930715</v>
      </c>
      <c r="K10" s="426">
        <f>IF($B10=SMR!$E$9,0,IF($B10&lt;SMR!$E$9,"",IF($B10&gt;SMR!$D$30+SMR!$E$9,"",IF(ISBLANK(SMR!$C$42),E10*(1-SMR!$D$44)*SMR!$D$55*SMR!$D$60,SMR!$D$42*(1-SMR!$D$44)*SMR!$D$55*SMR!$D$60))))</f>
        <v>23.283418013710296</v>
      </c>
      <c r="L10" s="426">
        <f>IF($B10=SMR!$E$9,0,IF($B10&lt;SMR!$E$9,"",IF($B10&gt;SMR!$D$30+SMR!$E$9,"",IF(ISBLANK(SMR!$C$40),-F10*S10*SMR!$D$37,-SMR!$C$40*S10*SMR!$D$37))))</f>
        <v>0</v>
      </c>
      <c r="M10" s="426">
        <f>IF($B10=SMR!$E$9,SUM(G10:L10),IF($B10&lt;SMR!$E$9,"",IF($B10&gt;SMR!$D$30+SMR!$E$9,"",SUM(G10:L10))))</f>
        <v>513.45639830562402</v>
      </c>
      <c r="N10" s="426">
        <f>IF($B10=SMR!$E$9,I10/(1+SMR!$D$31)^'CFA SMR'!C10,IF($B10&lt;SMR!$E$9,"",IF($B10&gt;SMR!$D$30+SMR!$E$9,"",I10/(1+SMR!$D$31)^'CFA SMR'!C10)))</f>
        <v>267.74843737518989</v>
      </c>
      <c r="O10" s="426">
        <f>IF($B10=SMR!$E$9,J10/(1+SMR!$D$31)^'CFA SMR'!C10,IF($B10&lt;SMR!$E$9,"",IF($B10&gt;SMR!$D$30+SMR!$E$9,"",J10/(1+SMR!$D$31)^'CFA SMR'!C10)))</f>
        <v>46.247438945481605</v>
      </c>
      <c r="P10" s="426">
        <f>IF($B10=SMR!$E$9,K10/(1+SMR!$D$31)^'CFA SMR'!C10,IF($B10&lt;SMR!$E$9,"",IF($B10&gt;SMR!$D$30+SMR!$E$9,"",K10/(1+SMR!$D$31)^'CFA SMR'!C10)))</f>
        <v>16.313339919646999</v>
      </c>
      <c r="Q10" s="426">
        <f>IF($B10=SMR!$E$9,L10/(1+SMR!$D$31)^'CFA SMR'!C10,IF($B10&lt;SMR!$E$9,"",IF($B10&gt;SMR!$D$30+SMR!$E$9,"",L10/(1+SMR!$D$31)^'CFA SMR'!C10)))</f>
        <v>0</v>
      </c>
      <c r="R10" s="426">
        <f>IF($B10=SMR!$E$9,M10/(1+SMR!$D$31)^'CFA SMR'!C10,IF($B10&lt;SMR!$E$9,"",IF($B10&gt;SMR!$D$30+SMR!$E$9,"",M10/(1+SMR!$D$31)^'CFA SMR'!C10)))</f>
        <v>359.74910361292484</v>
      </c>
      <c r="S10" s="429">
        <f>IF($B10=SMR!$E$9,0,IF($B10&lt;SMR!$E$9,"",IF($B10&gt;SMR!$D$30+SMR!$E$9,"",SMR!$D$60)))</f>
        <v>249.68496849684971</v>
      </c>
      <c r="T10" s="430">
        <f>IF($B10=SMR!$E$9,S10/(1+SMR!$D$31)^'CFA SMR'!C10,IF($B10&lt;SMR!$E$9,"",IF($B10&gt;SMR!$D$30+SMR!$E$9,"",S10/(1+SMR!$D$31)^'CFA SMR'!C10)))</f>
        <v>174.93976878811287</v>
      </c>
    </row>
    <row r="11" spans="1:20">
      <c r="B11" s="424">
        <v>2029</v>
      </c>
      <c r="C11" s="431">
        <f>IF($B11=SMR!$E$9,B11-HOME!$A$9,IF($B11&lt;SMR!$E$9,"",IF($B11&gt;SMR!$D$30+SMR!$E$9,"",B11-HOME!$A$9)))</f>
        <v>7</v>
      </c>
      <c r="D11" s="426" cm="1">
        <f t="array" ref="D11">IF(B11=SMR!$E$9,"",IF(B11&lt;SMR!$E$9,"",IF(B11&gt;SMR!$D$30+SMR!$E$9,"",INDEX(Tb_Fuel[],MATCH(B11,Tb_Fuel[Year],0),HLOOKUP(SMR!$E$8&amp;" - Gas",'Fuel Data'!$BB$2:$BX$3,2,FALSE)+1))))</f>
        <v>2.845E-2</v>
      </c>
      <c r="E11" s="426" cm="1">
        <f t="array" ref="E11">IF(B11=SMR!$E$9,"",IF(B11&lt;SMR!$E$9,"",IF(B11&gt;SMR!$D$30+SMR!$E$9,"",INDEX(Tb_Fuel[],MATCH(B11,Tb_Fuel[Year],0),HLOOKUP(SMR!$E$8&amp;" - CO2 price",'Fuel Data'!$BB$2:$BX$3,2,FALSE)+1))))</f>
        <v>98.779910374566668</v>
      </c>
      <c r="F11" s="426" cm="1">
        <f t="array" ref="F11">IF(B11=SMR!$E$9,"",IF(B11&lt;SMR!$E$9,"",IF(B11&gt;SMR!$D$30+SMR!$E$9,"",INDEX(Tb_Fuel[],MATCH(B11,Tb_Fuel[Year],0),HLOOKUP(SMR!$E$8&amp;" - Feed-in electricity price",'Fuel Data'!$BB$2:$BX$3,2,FALSE)+1))))</f>
        <v>0</v>
      </c>
      <c r="G11" s="426">
        <f>IF(B11=SMR!$E$9,SMR!$D$48,IF(B11&lt;SMR!$E$9,"",IF(B11&gt;SMR!$D$30+SMR!$E$9,"",0)))</f>
        <v>0</v>
      </c>
      <c r="H11" s="426">
        <f>IF(B11=SMR!$E$9,0,IF(B11&lt;SMR!$E$9,"",IF(B11&gt;SMR!$D$30+SMR!$E$9,"",SMR!$D$48*SMR!$D$29)))</f>
        <v>42.018446703694792</v>
      </c>
      <c r="I11" s="426">
        <f>IF($B11=SMR!$E$9,0,IF($B11&lt;SMR!$E$9,"",IF($B11&gt;SMR!$D$30+SMR!$E$9,"",IF(ISBLANK(SMR!$C$39),(D11*'General values'!$B$26/'General values'!$C$3)*SMR!$D$32*8760*(SMR!$D$34+SMR!$D$35),(SMR!$D$39*'General values'!$B$26/'General values'!$C$3)*SMR!$D$32*8760*(SMR!$D$34+SMR!$D$35)))))</f>
        <v>379.14875884820219</v>
      </c>
      <c r="J11" s="426">
        <f>IF($B11=SMR!$E$9,0,IF($B11&lt;SMR!$E$9,"",IF($B11&gt;SMR!$D$30+SMR!$E$9,"",SMR!$D$41*SMR!$D$55*SMR!$D$44*SMR!$D$60)))</f>
        <v>66.007234467930715</v>
      </c>
      <c r="K11" s="426">
        <f>IF($B11=SMR!$E$9,0,IF($B11&lt;SMR!$E$9,"",IF($B11&gt;SMR!$D$30+SMR!$E$9,"",IF(ISBLANK(SMR!$C$42),E11*(1-SMR!$D$44)*SMR!$D$55*SMR!$D$60,SMR!$D$42*(1-SMR!$D$44)*SMR!$D$55*SMR!$D$60))))</f>
        <v>23.93344604050656</v>
      </c>
      <c r="L11" s="426">
        <f>IF($B11=SMR!$E$9,0,IF($B11&lt;SMR!$E$9,"",IF($B11&gt;SMR!$D$30+SMR!$E$9,"",IF(ISBLANK(SMR!$C$40),-F11*S11*SMR!$D$37,-SMR!$C$40*S11*SMR!$D$37))))</f>
        <v>0</v>
      </c>
      <c r="M11" s="426">
        <f>IF($B11=SMR!$E$9,SUM(G11:L11),IF($B11&lt;SMR!$E$9,"",IF($B11&gt;SMR!$D$30+SMR!$E$9,"",SUM(G11:L11))))</f>
        <v>511.10788606033424</v>
      </c>
      <c r="N11" s="426">
        <f>IF($B11=SMR!$E$9,I11/(1+SMR!$D$31)^'CFA SMR'!C11,IF($B11&lt;SMR!$E$9,"",IF($B11&gt;SMR!$D$30+SMR!$E$9,"",I11/(1+SMR!$D$31)^'CFA SMR'!C11)))</f>
        <v>250.35435324264282</v>
      </c>
      <c r="O11" s="426">
        <f>IF($B11=SMR!$E$9,J11/(1+SMR!$D$31)^'CFA SMR'!C11,IF($B11&lt;SMR!$E$9,"",IF($B11&gt;SMR!$D$30+SMR!$E$9,"",J11/(1+SMR!$D$31)^'CFA SMR'!C11)))</f>
        <v>43.58499957841186</v>
      </c>
      <c r="P11" s="426">
        <f>IF($B11=SMR!$E$9,K11/(1+SMR!$D$31)^'CFA SMR'!C11,IF($B11&lt;SMR!$E$9,"",IF($B11&gt;SMR!$D$30+SMR!$E$9,"",K11/(1+SMR!$D$31)^'CFA SMR'!C11)))</f>
        <v>15.803407671809451</v>
      </c>
      <c r="Q11" s="426">
        <f>IF($B11=SMR!$E$9,L11/(1+SMR!$D$31)^'CFA SMR'!C11,IF($B11&lt;SMR!$E$9,"",IF($B11&gt;SMR!$D$30+SMR!$E$9,"",L11/(1+SMR!$D$31)^'CFA SMR'!C11)))</f>
        <v>0</v>
      </c>
      <c r="R11" s="426">
        <f>IF($B11=SMR!$E$9,M11/(1+SMR!$D$31)^'CFA SMR'!C11,IF($B11&lt;SMR!$E$9,"",IF($B11&gt;SMR!$D$30+SMR!$E$9,"",M11/(1+SMR!$D$31)^'CFA SMR'!C11)))</f>
        <v>337.48780990492247</v>
      </c>
      <c r="S11" s="429">
        <f>IF($B11=SMR!$E$9,0,IF($B11&lt;SMR!$E$9,"",IF($B11&gt;SMR!$D$30+SMR!$E$9,"",SMR!$D$60)))</f>
        <v>249.68496849684971</v>
      </c>
      <c r="T11" s="430">
        <f>IF($B11=SMR!$E$9,S11/(1+SMR!$D$31)^'CFA SMR'!C11,IF($B11&lt;SMR!$E$9,"",IF($B11&gt;SMR!$D$30+SMR!$E$9,"",S11/(1+SMR!$D$31)^'CFA SMR'!C11)))</f>
        <v>164.86858348774166</v>
      </c>
    </row>
    <row r="12" spans="1:20">
      <c r="B12" s="424">
        <v>2030</v>
      </c>
      <c r="C12" s="431">
        <f>IF($B12=SMR!$E$9,B12-HOME!$A$9,IF($B12&lt;SMR!$E$9,"",IF($B12&gt;SMR!$D$30+SMR!$E$9,"",B12-HOME!$A$9)))</f>
        <v>8</v>
      </c>
      <c r="D12" s="426" cm="1">
        <f t="array" ref="D12">IF(B12=SMR!$E$9,"",IF(B12&lt;SMR!$E$9,"",IF(B12&gt;SMR!$D$30+SMR!$E$9,"",INDEX(Tb_Fuel[],MATCH(B12,Tb_Fuel[Year],0),HLOOKUP(SMR!$E$8&amp;" - Gas",'Fuel Data'!$BB$2:$BX$3,2,FALSE)+1))))</f>
        <v>2.8250000000000001E-2</v>
      </c>
      <c r="E12" s="426" cm="1">
        <f t="array" ref="E12">IF(B12=SMR!$E$9,"",IF(B12&lt;SMR!$E$9,"",IF(B12&gt;SMR!$D$30+SMR!$E$9,"",INDEX(Tb_Fuel[],MATCH(B12,Tb_Fuel[Year],0),HLOOKUP(SMR!$E$8&amp;" - CO2 price",'Fuel Data'!$BB$2:$BX$3,2,FALSE)+1))))</f>
        <v>101.46275471379047</v>
      </c>
      <c r="F12" s="426" cm="1">
        <f t="array" ref="F12">IF(B12=SMR!$E$9,"",IF(B12&lt;SMR!$E$9,"",IF(B12&gt;SMR!$D$30+SMR!$E$9,"",INDEX(Tb_Fuel[],MATCH(B12,Tb_Fuel[Year],0),HLOOKUP(SMR!$E$8&amp;" - Feed-in electricity price",'Fuel Data'!$BB$2:$BX$3,2,FALSE)+1))))</f>
        <v>0</v>
      </c>
      <c r="G12" s="426">
        <f>IF(B12=SMR!$E$9,SMR!$D$48,IF(B12&lt;SMR!$E$9,"",IF(B12&gt;SMR!$D$30+SMR!$E$9,"",0)))</f>
        <v>0</v>
      </c>
      <c r="H12" s="426">
        <f>IF(B12=SMR!$E$9,0,IF(B12&lt;SMR!$E$9,"",IF(B12&gt;SMR!$D$30+SMR!$E$9,"",SMR!$D$48*SMR!$D$29)))</f>
        <v>42.018446703694792</v>
      </c>
      <c r="I12" s="426">
        <f>IF($B12=SMR!$E$9,0,IF($B12&lt;SMR!$E$9,"",IF($B12&gt;SMR!$D$30+SMR!$E$9,"",IF(ISBLANK(SMR!$C$39),(D12*'General values'!$B$26/'General values'!$C$3)*SMR!$D$32*8760*(SMR!$D$34+SMR!$D$35),(SMR!$D$39*'General values'!$B$26/'General values'!$C$3)*SMR!$D$32*8760*(SMR!$D$34+SMR!$D$35)))))</f>
        <v>376.48338971745915</v>
      </c>
      <c r="J12" s="426">
        <f>IF($B12=SMR!$E$9,0,IF($B12&lt;SMR!$E$9,"",IF($B12&gt;SMR!$D$30+SMR!$E$9,"",SMR!$D$41*SMR!$D$55*SMR!$D$44*SMR!$D$60)))</f>
        <v>66.007234467930715</v>
      </c>
      <c r="K12" s="426">
        <f>IF($B12=SMR!$E$9,0,IF($B12&lt;SMR!$E$9,"",IF($B12&gt;SMR!$D$30+SMR!$E$9,"",IF(ISBLANK(SMR!$C$42),E12*(1-SMR!$D$44)*SMR!$D$55*SMR!$D$60,SMR!$D$42*(1-SMR!$D$44)*SMR!$D$55*SMR!$D$60))))</f>
        <v>24.583474067302824</v>
      </c>
      <c r="L12" s="426">
        <f>IF($B12=SMR!$E$9,0,IF($B12&lt;SMR!$E$9,"",IF($B12&gt;SMR!$D$30+SMR!$E$9,"",IF(ISBLANK(SMR!$C$40),-F12*S12*SMR!$D$37,-SMR!$C$40*S12*SMR!$D$37))))</f>
        <v>0</v>
      </c>
      <c r="M12" s="426">
        <f>IF($B12=SMR!$E$9,SUM(G12:L12),IF($B12&lt;SMR!$E$9,"",IF($B12&gt;SMR!$D$30+SMR!$E$9,"",SUM(G12:L12))))</f>
        <v>509.09254495638748</v>
      </c>
      <c r="N12" s="426">
        <f>IF($B12=SMR!$E$9,I12/(1+SMR!$D$31)^'CFA SMR'!C12,IF($B12&lt;SMR!$E$9,"",IF($B12&gt;SMR!$D$30+SMR!$E$9,"",I12/(1+SMR!$D$31)^'CFA SMR'!C12)))</f>
        <v>234.28295184517017</v>
      </c>
      <c r="O12" s="426">
        <f>IF($B12=SMR!$E$9,J12/(1+SMR!$D$31)^'CFA SMR'!C12,IF($B12&lt;SMR!$E$9,"",IF($B12&gt;SMR!$D$30+SMR!$E$9,"",J12/(1+SMR!$D$31)^'CFA SMR'!C12)))</f>
        <v>41.07583536657134</v>
      </c>
      <c r="P12" s="426">
        <f>IF($B12=SMR!$E$9,K12/(1+SMR!$D$31)^'CFA SMR'!C12,IF($B12&lt;SMR!$E$9,"",IF($B12&gt;SMR!$D$30+SMR!$E$9,"",K12/(1+SMR!$D$31)^'CFA SMR'!C12)))</f>
        <v>15.29812211747042</v>
      </c>
      <c r="Q12" s="426">
        <f>IF($B12=SMR!$E$9,L12/(1+SMR!$D$31)^'CFA SMR'!C12,IF($B12&lt;SMR!$E$9,"",IF($B12&gt;SMR!$D$30+SMR!$E$9,"",L12/(1+SMR!$D$31)^'CFA SMR'!C12)))</f>
        <v>0</v>
      </c>
      <c r="R12" s="426">
        <f>IF($B12=SMR!$E$9,M12/(1+SMR!$D$31)^'CFA SMR'!C12,IF($B12&lt;SMR!$E$9,"",IF($B12&gt;SMR!$D$30+SMR!$E$9,"",M12/(1+SMR!$D$31)^'CFA SMR'!C12)))</f>
        <v>316.80469166053444</v>
      </c>
      <c r="S12" s="429">
        <f>IF($B12=SMR!$E$9,0,IF($B12&lt;SMR!$E$9,"",IF($B12&gt;SMR!$D$30+SMR!$E$9,"",SMR!$D$60)))</f>
        <v>249.68496849684971</v>
      </c>
      <c r="T12" s="430">
        <f>IF($B12=SMR!$E$9,S12/(1+SMR!$D$31)^'CFA SMR'!C12,IF($B12&lt;SMR!$E$9,"",IF($B12&gt;SMR!$D$30+SMR!$E$9,"",S12/(1+SMR!$D$31)^'CFA SMR'!C12)))</f>
        <v>155.37719073000983</v>
      </c>
    </row>
    <row r="13" spans="1:20">
      <c r="B13" s="424">
        <v>2031</v>
      </c>
      <c r="C13" s="431">
        <f>IF($B13=SMR!$E$9,B13-HOME!$A$9,IF($B13&lt;SMR!$E$9,"",IF($B13&gt;SMR!$D$30+SMR!$E$9,"",B13-HOME!$A$9)))</f>
        <v>9</v>
      </c>
      <c r="D13" s="426" cm="1">
        <f t="array" ref="D13">IF(B13=SMR!$E$9,"",IF(B13&lt;SMR!$E$9,"",IF(B13&gt;SMR!$D$30+SMR!$E$9,"",INDEX(Tb_Fuel[],MATCH(B13,Tb_Fuel[Year],0),HLOOKUP(SMR!$E$8&amp;" - Gas",'Fuel Data'!$BB$2:$BX$3,2,FALSE)+1))))</f>
        <v>2.8250000000000001E-2</v>
      </c>
      <c r="E13" s="426" cm="1">
        <f t="array" ref="E13">IF(B13=SMR!$E$9,"",IF(B13&lt;SMR!$E$9,"",IF(B13&gt;SMR!$D$30+SMR!$E$9,"",INDEX(Tb_Fuel[],MATCH(B13,Tb_Fuel[Year],0),HLOOKUP(SMR!$E$8&amp;" - CO2 price",'Fuel Data'!$BB$2:$BX$3,2,FALSE)+1))))</f>
        <v>105.69036949353175</v>
      </c>
      <c r="F13" s="426" cm="1">
        <f t="array" ref="F13">IF(B13=SMR!$E$9,"",IF(B13&lt;SMR!$E$9,"",IF(B13&gt;SMR!$D$30+SMR!$E$9,"",INDEX(Tb_Fuel[],MATCH(B13,Tb_Fuel[Year],0),HLOOKUP(SMR!$E$8&amp;" - Feed-in electricity price",'Fuel Data'!$BB$2:$BX$3,2,FALSE)+1))))</f>
        <v>0</v>
      </c>
      <c r="G13" s="426">
        <f>IF(B13=SMR!$E$9,SMR!$D$48,IF(B13&lt;SMR!$E$9,"",IF(B13&gt;SMR!$D$30+SMR!$E$9,"",0)))</f>
        <v>0</v>
      </c>
      <c r="H13" s="426">
        <f>IF(B13=SMR!$E$9,0,IF(B13&lt;SMR!$E$9,"",IF(B13&gt;SMR!$D$30+SMR!$E$9,"",SMR!$D$48*SMR!$D$29)))</f>
        <v>42.018446703694792</v>
      </c>
      <c r="I13" s="426">
        <f>IF($B13=SMR!$E$9,0,IF($B13&lt;SMR!$E$9,"",IF($B13&gt;SMR!$D$30+SMR!$E$9,"",IF(ISBLANK(SMR!$C$39),(D13*'General values'!$B$26/'General values'!$C$3)*SMR!$D$32*8760*(SMR!$D$34+SMR!$D$35),(SMR!$D$39*'General values'!$B$26/'General values'!$C$3)*SMR!$D$32*8760*(SMR!$D$34+SMR!$D$35)))))</f>
        <v>376.48338971745915</v>
      </c>
      <c r="J13" s="426">
        <f>IF($B13=SMR!$E$9,0,IF($B13&lt;SMR!$E$9,"",IF($B13&gt;SMR!$D$30+SMR!$E$9,"",SMR!$D$41*SMR!$D$55*SMR!$D$44*SMR!$D$60)))</f>
        <v>66.007234467930715</v>
      </c>
      <c r="K13" s="426">
        <f>IF($B13=SMR!$E$9,0,IF($B13&lt;SMR!$E$9,"",IF($B13&gt;SMR!$D$30+SMR!$E$9,"",IF(ISBLANK(SMR!$C$42),E13*(1-SMR!$D$44)*SMR!$D$55*SMR!$D$60,SMR!$D$42*(1-SMR!$D$44)*SMR!$D$55*SMR!$D$60))))</f>
        <v>25.607785486773775</v>
      </c>
      <c r="L13" s="426">
        <f>IF($B13=SMR!$E$9,0,IF($B13&lt;SMR!$E$9,"",IF($B13&gt;SMR!$D$30+SMR!$E$9,"",IF(ISBLANK(SMR!$C$40),-F13*S13*SMR!$D$37,-SMR!$C$40*S13*SMR!$D$37))))</f>
        <v>0</v>
      </c>
      <c r="M13" s="426">
        <f>IF($B13=SMR!$E$9,SUM(G13:L13),IF($B13&lt;SMR!$E$9,"",IF($B13&gt;SMR!$D$30+SMR!$E$9,"",SUM(G13:L13))))</f>
        <v>510.11685637585845</v>
      </c>
      <c r="N13" s="426">
        <f>IF($B13=SMR!$E$9,I13/(1+SMR!$D$31)^'CFA SMR'!C13,IF($B13&lt;SMR!$E$9,"",IF($B13&gt;SMR!$D$30+SMR!$E$9,"",I13/(1+SMR!$D$31)^'CFA SMR'!C13)))</f>
        <v>220.79541246463918</v>
      </c>
      <c r="O13" s="426">
        <f>IF($B13=SMR!$E$9,J13/(1+SMR!$D$31)^'CFA SMR'!C13,IF($B13&lt;SMR!$E$9,"",IF($B13&gt;SMR!$D$30+SMR!$E$9,"",J13/(1+SMR!$D$31)^'CFA SMR'!C13)))</f>
        <v>38.711122344426357</v>
      </c>
      <c r="P13" s="426">
        <f>IF($B13=SMR!$E$9,K13/(1+SMR!$D$31)^'CFA SMR'!C13,IF($B13&lt;SMR!$E$9,"",IF($B13&gt;SMR!$D$30+SMR!$E$9,"",K13/(1+SMR!$D$31)^'CFA SMR'!C13)))</f>
        <v>15.018143464712894</v>
      </c>
      <c r="Q13" s="426">
        <f>IF($B13=SMR!$E$9,L13/(1+SMR!$D$31)^'CFA SMR'!C13,IF($B13&lt;SMR!$E$9,"",IF($B13&gt;SMR!$D$30+SMR!$E$9,"",L13/(1+SMR!$D$31)^'CFA SMR'!C13)))</f>
        <v>0</v>
      </c>
      <c r="R13" s="426">
        <f>IF($B13=SMR!$E$9,M13/(1+SMR!$D$31)^'CFA SMR'!C13,IF($B13&lt;SMR!$E$9,"",IF($B13&gt;SMR!$D$30+SMR!$E$9,"",M13/(1+SMR!$D$31)^'CFA SMR'!C13)))</f>
        <v>299.1671473028324</v>
      </c>
      <c r="S13" s="429">
        <f>IF($B13=SMR!$E$9,0,IF($B13&lt;SMR!$E$9,"",IF($B13&gt;SMR!$D$30+SMR!$E$9,"",SMR!$D$60)))</f>
        <v>249.68496849684971</v>
      </c>
      <c r="T13" s="430">
        <f>IF($B13=SMR!$E$9,S13/(1+SMR!$D$31)^'CFA SMR'!C13,IF($B13&lt;SMR!$E$9,"",IF($B13&gt;SMR!$D$30+SMR!$E$9,"",S13/(1+SMR!$D$31)^'CFA SMR'!C13)))</f>
        <v>146.43221218034466</v>
      </c>
    </row>
    <row r="14" spans="1:20">
      <c r="B14" s="424">
        <v>2032</v>
      </c>
      <c r="C14" s="431">
        <f>IF($B14=SMR!$E$9,B14-HOME!$A$9,IF($B14&lt;SMR!$E$9,"",IF($B14&gt;SMR!$D$30+SMR!$E$9,"",B14-HOME!$A$9)))</f>
        <v>10</v>
      </c>
      <c r="D14" s="426" cm="1">
        <f t="array" ref="D14">IF(B14=SMR!$E$9,"",IF(B14&lt;SMR!$E$9,"",IF(B14&gt;SMR!$D$30+SMR!$E$9,"",INDEX(Tb_Fuel[],MATCH(B14,Tb_Fuel[Year],0),HLOOKUP(SMR!$E$8&amp;" - Gas",'Fuel Data'!$BB$2:$BX$3,2,FALSE)+1))))</f>
        <v>2.8250000000000001E-2</v>
      </c>
      <c r="E14" s="426" cm="1">
        <f t="array" ref="E14">IF(B14=SMR!$E$9,"",IF(B14&lt;SMR!$E$9,"",IF(B14&gt;SMR!$D$30+SMR!$E$9,"",INDEX(Tb_Fuel[],MATCH(B14,Tb_Fuel[Year],0),HLOOKUP(SMR!$E$8&amp;" - CO2 price",'Fuel Data'!$BB$2:$BX$3,2,FALSE)+1))))</f>
        <v>109.91798427327302</v>
      </c>
      <c r="F14" s="426" cm="1">
        <f t="array" ref="F14">IF(B14=SMR!$E$9,"",IF(B14&lt;SMR!$E$9,"",IF(B14&gt;SMR!$D$30+SMR!$E$9,"",INDEX(Tb_Fuel[],MATCH(B14,Tb_Fuel[Year],0),HLOOKUP(SMR!$E$8&amp;" - Feed-in electricity price",'Fuel Data'!$BB$2:$BX$3,2,FALSE)+1))))</f>
        <v>0</v>
      </c>
      <c r="G14" s="426">
        <f>IF(B14=SMR!$E$9,SMR!$D$48,IF(B14&lt;SMR!$E$9,"",IF(B14&gt;SMR!$D$30+SMR!$E$9,"",0)))</f>
        <v>0</v>
      </c>
      <c r="H14" s="426">
        <f>IF(B14=SMR!$E$9,0,IF(B14&lt;SMR!$E$9,"",IF(B14&gt;SMR!$D$30+SMR!$E$9,"",SMR!$D$48*SMR!$D$29)))</f>
        <v>42.018446703694792</v>
      </c>
      <c r="I14" s="426">
        <f>IF($B14=SMR!$E$9,0,IF($B14&lt;SMR!$E$9,"",IF($B14&gt;SMR!$D$30+SMR!$E$9,"",IF(ISBLANK(SMR!$C$39),(D14*'General values'!$B$26/'General values'!$C$3)*SMR!$D$32*8760*(SMR!$D$34+SMR!$D$35),(SMR!$D$39*'General values'!$B$26/'General values'!$C$3)*SMR!$D$32*8760*(SMR!$D$34+SMR!$D$35)))))</f>
        <v>376.48338971745915</v>
      </c>
      <c r="J14" s="426">
        <f>IF($B14=SMR!$E$9,0,IF($B14&lt;SMR!$E$9,"",IF($B14&gt;SMR!$D$30+SMR!$E$9,"",SMR!$D$41*SMR!$D$55*SMR!$D$44*SMR!$D$60)))</f>
        <v>66.007234467930715</v>
      </c>
      <c r="K14" s="426">
        <f>IF($B14=SMR!$E$9,0,IF($B14&lt;SMR!$E$9,"",IF($B14&gt;SMR!$D$30+SMR!$E$9,"",IF(ISBLANK(SMR!$C$42),E14*(1-SMR!$D$44)*SMR!$D$55*SMR!$D$60,SMR!$D$42*(1-SMR!$D$44)*SMR!$D$55*SMR!$D$60))))</f>
        <v>26.632096906244726</v>
      </c>
      <c r="L14" s="426">
        <f>IF($B14=SMR!$E$9,0,IF($B14&lt;SMR!$E$9,"",IF($B14&gt;SMR!$D$30+SMR!$E$9,"",IF(ISBLANK(SMR!$C$40),-F14*S14*SMR!$D$37,-SMR!$C$40*S14*SMR!$D$37))))</f>
        <v>0</v>
      </c>
      <c r="M14" s="426">
        <f>IF($B14=SMR!$E$9,SUM(G14:L14),IF($B14&lt;SMR!$E$9,"",IF($B14&gt;SMR!$D$30+SMR!$E$9,"",SUM(G14:L14))))</f>
        <v>511.14116779532941</v>
      </c>
      <c r="N14" s="426">
        <f>IF($B14=SMR!$E$9,I14/(1+SMR!$D$31)^'CFA SMR'!C14,IF($B14&lt;SMR!$E$9,"",IF($B14&gt;SMR!$D$30+SMR!$E$9,"",I14/(1+SMR!$D$31)^'CFA SMR'!C14)))</f>
        <v>208.08434323316791</v>
      </c>
      <c r="O14" s="426">
        <f>IF($B14=SMR!$E$9,J14/(1+SMR!$D$31)^'CFA SMR'!C14,IF($B14&lt;SMR!$E$9,"",IF($B14&gt;SMR!$D$30+SMR!$E$9,"",J14/(1+SMR!$D$31)^'CFA SMR'!C14)))</f>
        <v>36.482544537236812</v>
      </c>
      <c r="P14" s="426">
        <f>IF($B14=SMR!$E$9,K14/(1+SMR!$D$31)^'CFA SMR'!C14,IF($B14&lt;SMR!$E$9,"",IF($B14&gt;SMR!$D$30+SMR!$E$9,"",K14/(1+SMR!$D$31)^'CFA SMR'!C14)))</f>
        <v>14.719699580416904</v>
      </c>
      <c r="Q14" s="426">
        <f>IF($B14=SMR!$E$9,L14/(1+SMR!$D$31)^'CFA SMR'!C14,IF($B14&lt;SMR!$E$9,"",IF($B14&gt;SMR!$D$30+SMR!$E$9,"",L14/(1+SMR!$D$31)^'CFA SMR'!C14)))</f>
        <v>0</v>
      </c>
      <c r="R14" s="426">
        <f>IF($B14=SMR!$E$9,M14/(1+SMR!$D$31)^'CFA SMR'!C14,IF($B14&lt;SMR!$E$9,"",IF($B14&gt;SMR!$D$30+SMR!$E$9,"",M14/(1+SMR!$D$31)^'CFA SMR'!C14)))</f>
        <v>282.51040312813359</v>
      </c>
      <c r="S14" s="429">
        <f>IF($B14=SMR!$E$9,0,IF($B14&lt;SMR!$E$9,"",IF($B14&gt;SMR!$D$30+SMR!$E$9,"",SMR!$D$60)))</f>
        <v>249.68496849684971</v>
      </c>
      <c r="T14" s="430">
        <f>IF($B14=SMR!$E$9,S14/(1+SMR!$D$31)^'CFA SMR'!C14,IF($B14&lt;SMR!$E$9,"",IF($B14&gt;SMR!$D$30+SMR!$E$9,"",S14/(1+SMR!$D$31)^'CFA SMR'!C14)))</f>
        <v>138.00219107635121</v>
      </c>
    </row>
    <row r="15" spans="1:20">
      <c r="B15" s="424">
        <v>2033</v>
      </c>
      <c r="C15" s="431">
        <f>IF($B15=SMR!$E$9,B15-HOME!$A$9,IF($B15&lt;SMR!$E$9,"",IF($B15&gt;SMR!$D$30+SMR!$E$9,"",B15-HOME!$A$9)))</f>
        <v>11</v>
      </c>
      <c r="D15" s="426" cm="1">
        <f t="array" ref="D15">IF(B15=SMR!$E$9,"",IF(B15&lt;SMR!$E$9,"",IF(B15&gt;SMR!$D$30+SMR!$E$9,"",INDEX(Tb_Fuel[],MATCH(B15,Tb_Fuel[Year],0),HLOOKUP(SMR!$E$8&amp;" - Gas",'Fuel Data'!$BB$2:$BX$3,2,FALSE)+1))))</f>
        <v>2.8250000000000001E-2</v>
      </c>
      <c r="E15" s="426" cm="1">
        <f t="array" ref="E15">IF(B15=SMR!$E$9,"",IF(B15&lt;SMR!$E$9,"",IF(B15&gt;SMR!$D$30+SMR!$E$9,"",INDEX(Tb_Fuel[],MATCH(B15,Tb_Fuel[Year],0),HLOOKUP(SMR!$E$8&amp;" - CO2 price",'Fuel Data'!$BB$2:$BX$3,2,FALSE)+1))))</f>
        <v>114.14559905301428</v>
      </c>
      <c r="F15" s="426" cm="1">
        <f t="array" ref="F15">IF(B15=SMR!$E$9,"",IF(B15&lt;SMR!$E$9,"",IF(B15&gt;SMR!$D$30+SMR!$E$9,"",INDEX(Tb_Fuel[],MATCH(B15,Tb_Fuel[Year],0),HLOOKUP(SMR!$E$8&amp;" - Feed-in electricity price",'Fuel Data'!$BB$2:$BX$3,2,FALSE)+1))))</f>
        <v>0</v>
      </c>
      <c r="G15" s="426">
        <f>IF(B15=SMR!$E$9,SMR!$D$48,IF(B15&lt;SMR!$E$9,"",IF(B15&gt;SMR!$D$30+SMR!$E$9,"",0)))</f>
        <v>0</v>
      </c>
      <c r="H15" s="426">
        <f>IF(B15=SMR!$E$9,0,IF(B15&lt;SMR!$E$9,"",IF(B15&gt;SMR!$D$30+SMR!$E$9,"",SMR!$D$48*SMR!$D$29)))</f>
        <v>42.018446703694792</v>
      </c>
      <c r="I15" s="426">
        <f>IF($B15=SMR!$E$9,0,IF($B15&lt;SMR!$E$9,"",IF($B15&gt;SMR!$D$30+SMR!$E$9,"",IF(ISBLANK(SMR!$C$39),(D15*'General values'!$B$26/'General values'!$C$3)*SMR!$D$32*8760*(SMR!$D$34+SMR!$D$35),(SMR!$D$39*'General values'!$B$26/'General values'!$C$3)*SMR!$D$32*8760*(SMR!$D$34+SMR!$D$35)))))</f>
        <v>376.48338971745915</v>
      </c>
      <c r="J15" s="426">
        <f>IF($B15=SMR!$E$9,0,IF($B15&lt;SMR!$E$9,"",IF($B15&gt;SMR!$D$30+SMR!$E$9,"",SMR!$D$41*SMR!$D$55*SMR!$D$44*SMR!$D$60)))</f>
        <v>66.007234467930715</v>
      </c>
      <c r="K15" s="426">
        <f>IF($B15=SMR!$E$9,0,IF($B15&lt;SMR!$E$9,"",IF($B15&gt;SMR!$D$30+SMR!$E$9,"",IF(ISBLANK(SMR!$C$42),E15*(1-SMR!$D$44)*SMR!$D$55*SMR!$D$60,SMR!$D$42*(1-SMR!$D$44)*SMR!$D$55*SMR!$D$60))))</f>
        <v>27.656408325715674</v>
      </c>
      <c r="L15" s="426">
        <f>IF($B15=SMR!$E$9,0,IF($B15&lt;SMR!$E$9,"",IF($B15&gt;SMR!$D$30+SMR!$E$9,"",IF(ISBLANK(SMR!$C$40),-F15*S15*SMR!$D$37,-SMR!$C$40*S15*SMR!$D$37))))</f>
        <v>0</v>
      </c>
      <c r="M15" s="426">
        <f>IF($B15=SMR!$E$9,SUM(G15:L15),IF($B15&lt;SMR!$E$9,"",IF($B15&gt;SMR!$D$30+SMR!$E$9,"",SUM(G15:L15))))</f>
        <v>512.16547921480037</v>
      </c>
      <c r="N15" s="426">
        <f>IF($B15=SMR!$E$9,I15/(1+SMR!$D$31)^'CFA SMR'!C15,IF($B15&lt;SMR!$E$9,"",IF($B15&gt;SMR!$D$30+SMR!$E$9,"",I15/(1+SMR!$D$31)^'CFA SMR'!C15)))</f>
        <v>196.10504319564731</v>
      </c>
      <c r="O15" s="426">
        <f>IF($B15=SMR!$E$9,J15/(1+SMR!$D$31)^'CFA SMR'!C15,IF($B15&lt;SMR!$E$9,"",IF($B15&gt;SMR!$D$30+SMR!$E$9,"",J15/(1+SMR!$D$31)^'CFA SMR'!C15)))</f>
        <v>34.382264716308377</v>
      </c>
      <c r="P15" s="426">
        <f>IF($B15=SMR!$E$9,K15/(1+SMR!$D$31)^'CFA SMR'!C15,IF($B15&lt;SMR!$E$9,"",IF($B15&gt;SMR!$D$30+SMR!$E$9,"",K15/(1+SMR!$D$31)^'CFA SMR'!C15)))</f>
        <v>14.405844447536376</v>
      </c>
      <c r="Q15" s="426">
        <f>IF($B15=SMR!$E$9,L15/(1+SMR!$D$31)^'CFA SMR'!C15,IF($B15&lt;SMR!$E$9,"",IF($B15&gt;SMR!$D$30+SMR!$E$9,"",L15/(1+SMR!$D$31)^'CFA SMR'!C15)))</f>
        <v>0</v>
      </c>
      <c r="R15" s="426">
        <f>IF($B15=SMR!$E$9,M15/(1+SMR!$D$31)^'CFA SMR'!C15,IF($B15&lt;SMR!$E$9,"",IF($B15&gt;SMR!$D$30+SMR!$E$9,"",M15/(1+SMR!$D$31)^'CFA SMR'!C15)))</f>
        <v>266.77998596462402</v>
      </c>
      <c r="S15" s="429">
        <f>IF($B15=SMR!$E$9,0,IF($B15&lt;SMR!$E$9,"",IF($B15&gt;SMR!$D$30+SMR!$E$9,"",SMR!$D$60)))</f>
        <v>249.68496849684971</v>
      </c>
      <c r="T15" s="430">
        <f>IF($B15=SMR!$E$9,S15/(1+SMR!$D$31)^'CFA SMR'!C15,IF($B15&lt;SMR!$E$9,"",IF($B15&gt;SMR!$D$30+SMR!$E$9,"",S15/(1+SMR!$D$31)^'CFA SMR'!C15)))</f>
        <v>130.05748160396956</v>
      </c>
    </row>
    <row r="16" spans="1:20">
      <c r="B16" s="424">
        <v>2034</v>
      </c>
      <c r="C16" s="431">
        <f>IF($B16=SMR!$E$9,B16-HOME!$A$9,IF($B16&lt;SMR!$E$9,"",IF($B16&gt;SMR!$D$30+SMR!$E$9,"",B16-HOME!$A$9)))</f>
        <v>12</v>
      </c>
      <c r="D16" s="426" cm="1">
        <f t="array" ref="D16">IF(B16=SMR!$E$9,"",IF(B16&lt;SMR!$E$9,"",IF(B16&gt;SMR!$D$30+SMR!$E$9,"",INDEX(Tb_Fuel[],MATCH(B16,Tb_Fuel[Year],0),HLOOKUP(SMR!$E$8&amp;" - Gas",'Fuel Data'!$BB$2:$BX$3,2,FALSE)+1))))</f>
        <v>2.8250000000000001E-2</v>
      </c>
      <c r="E16" s="426" cm="1">
        <f t="array" ref="E16">IF(B16=SMR!$E$9,"",IF(B16&lt;SMR!$E$9,"",IF(B16&gt;SMR!$D$30+SMR!$E$9,"",INDEX(Tb_Fuel[],MATCH(B16,Tb_Fuel[Year],0),HLOOKUP(SMR!$E$8&amp;" - CO2 price",'Fuel Data'!$BB$2:$BX$3,2,FALSE)+1))))</f>
        <v>118.37321383275555</v>
      </c>
      <c r="F16" s="426" cm="1">
        <f t="array" ref="F16">IF(B16=SMR!$E$9,"",IF(B16&lt;SMR!$E$9,"",IF(B16&gt;SMR!$D$30+SMR!$E$9,"",INDEX(Tb_Fuel[],MATCH(B16,Tb_Fuel[Year],0),HLOOKUP(SMR!$E$8&amp;" - Feed-in electricity price",'Fuel Data'!$BB$2:$BX$3,2,FALSE)+1))))</f>
        <v>0</v>
      </c>
      <c r="G16" s="426">
        <f>IF(B16=SMR!$E$9,SMR!$D$48,IF(B16&lt;SMR!$E$9,"",IF(B16&gt;SMR!$D$30+SMR!$E$9,"",0)))</f>
        <v>0</v>
      </c>
      <c r="H16" s="426">
        <f>IF(B16=SMR!$E$9,0,IF(B16&lt;SMR!$E$9,"",IF(B16&gt;SMR!$D$30+SMR!$E$9,"",SMR!$D$48*SMR!$D$29)))</f>
        <v>42.018446703694792</v>
      </c>
      <c r="I16" s="426">
        <f>IF($B16=SMR!$E$9,0,IF($B16&lt;SMR!$E$9,"",IF($B16&gt;SMR!$D$30+SMR!$E$9,"",IF(ISBLANK(SMR!$C$39),(D16*'General values'!$B$26/'General values'!$C$3)*SMR!$D$32*8760*(SMR!$D$34+SMR!$D$35),(SMR!$D$39*'General values'!$B$26/'General values'!$C$3)*SMR!$D$32*8760*(SMR!$D$34+SMR!$D$35)))))</f>
        <v>376.48338971745915</v>
      </c>
      <c r="J16" s="426">
        <f>IF($B16=SMR!$E$9,0,IF($B16&lt;SMR!$E$9,"",IF($B16&gt;SMR!$D$30+SMR!$E$9,"",SMR!$D$41*SMR!$D$55*SMR!$D$44*SMR!$D$60)))</f>
        <v>66.007234467930715</v>
      </c>
      <c r="K16" s="426">
        <f>IF($B16=SMR!$E$9,0,IF($B16&lt;SMR!$E$9,"",IF($B16&gt;SMR!$D$30+SMR!$E$9,"",IF(ISBLANK(SMR!$C$42),E16*(1-SMR!$D$44)*SMR!$D$55*SMR!$D$60,SMR!$D$42*(1-SMR!$D$44)*SMR!$D$55*SMR!$D$60))))</f>
        <v>28.680719745186629</v>
      </c>
      <c r="L16" s="426">
        <f>IF($B16=SMR!$E$9,0,IF($B16&lt;SMR!$E$9,"",IF($B16&gt;SMR!$D$30+SMR!$E$9,"",IF(ISBLANK(SMR!$C$40),-F16*S16*SMR!$D$37,-SMR!$C$40*S16*SMR!$D$37))))</f>
        <v>0</v>
      </c>
      <c r="M16" s="426">
        <f>IF($B16=SMR!$E$9,SUM(G16:L16),IF($B16&lt;SMR!$E$9,"",IF($B16&gt;SMR!$D$30+SMR!$E$9,"",SUM(G16:L16))))</f>
        <v>513.18979063427128</v>
      </c>
      <c r="N16" s="426">
        <f>IF($B16=SMR!$E$9,I16/(1+SMR!$D$31)^'CFA SMR'!C16,IF($B16&lt;SMR!$E$9,"",IF($B16&gt;SMR!$D$30+SMR!$E$9,"",I16/(1+SMR!$D$31)^'CFA SMR'!C16)))</f>
        <v>184.81538480612014</v>
      </c>
      <c r="O16" s="426">
        <f>IF($B16=SMR!$E$9,J16/(1+SMR!$D$31)^'CFA SMR'!C16,IF($B16&lt;SMR!$E$9,"",IF($B16&gt;SMR!$D$30+SMR!$E$9,"",J16/(1+SMR!$D$31)^'CFA SMR'!C16)))</f>
        <v>32.402896837848687</v>
      </c>
      <c r="P16" s="426">
        <f>IF($B16=SMR!$E$9,K16/(1+SMR!$D$31)^'CFA SMR'!C16,IF($B16&lt;SMR!$E$9,"",IF($B16&gt;SMR!$D$30+SMR!$E$9,"",K16/(1+SMR!$D$31)^'CFA SMR'!C16)))</f>
        <v>14.079341615047461</v>
      </c>
      <c r="Q16" s="426">
        <f>IF($B16=SMR!$E$9,L16/(1+SMR!$D$31)^'CFA SMR'!C16,IF($B16&lt;SMR!$E$9,"",IF($B16&gt;SMR!$D$30+SMR!$E$9,"",L16/(1+SMR!$D$31)^'CFA SMR'!C16)))</f>
        <v>0</v>
      </c>
      <c r="R16" s="426">
        <f>IF($B16=SMR!$E$9,M16/(1+SMR!$D$31)^'CFA SMR'!C16,IF($B16&lt;SMR!$E$9,"",IF($B16&gt;SMR!$D$30+SMR!$E$9,"",M16/(1+SMR!$D$31)^'CFA SMR'!C16)))</f>
        <v>251.92444401285277</v>
      </c>
      <c r="S16" s="429">
        <f>IF($B16=SMR!$E$9,0,IF($B16&lt;SMR!$E$9,"",IF($B16&gt;SMR!$D$30+SMR!$E$9,"",SMR!$D$60)))</f>
        <v>249.68496849684971</v>
      </c>
      <c r="T16" s="430">
        <f>IF($B16=SMR!$E$9,S16/(1+SMR!$D$31)^'CFA SMR'!C16,IF($B16&lt;SMR!$E$9,"",IF($B16&gt;SMR!$D$30+SMR!$E$9,"",S16/(1+SMR!$D$31)^'CFA SMR'!C16)))</f>
        <v>122.5701446421855</v>
      </c>
    </row>
    <row r="17" spans="2:20">
      <c r="B17" s="424">
        <v>2035</v>
      </c>
      <c r="C17" s="431">
        <f>IF($B17=SMR!$E$9,B17-HOME!$A$9,IF($B17&lt;SMR!$E$9,"",IF($B17&gt;SMR!$D$30+SMR!$E$9,"",B17-HOME!$A$9)))</f>
        <v>13</v>
      </c>
      <c r="D17" s="426" cm="1">
        <f t="array" ref="D17">IF(B17=SMR!$E$9,"",IF(B17&lt;SMR!$E$9,"",IF(B17&gt;SMR!$D$30+SMR!$E$9,"",INDEX(Tb_Fuel[],MATCH(B17,Tb_Fuel[Year],0),HLOOKUP(SMR!$E$8&amp;" - Gas",'Fuel Data'!$BB$2:$BX$3,2,FALSE)+1))))</f>
        <v>2.8250000000000001E-2</v>
      </c>
      <c r="E17" s="426" cm="1">
        <f t="array" ref="E17">IF(B17=SMR!$E$9,"",IF(B17&lt;SMR!$E$9,"",IF(B17&gt;SMR!$D$30+SMR!$E$9,"",INDEX(Tb_Fuel[],MATCH(B17,Tb_Fuel[Year],0),HLOOKUP(SMR!$E$8&amp;" - CO2 price",'Fuel Data'!$BB$2:$BX$3,2,FALSE)+1))))</f>
        <v>122.60082861249683</v>
      </c>
      <c r="F17" s="426" cm="1">
        <f t="array" ref="F17">IF(B17=SMR!$E$9,"",IF(B17&lt;SMR!$E$9,"",IF(B17&gt;SMR!$D$30+SMR!$E$9,"",INDEX(Tb_Fuel[],MATCH(B17,Tb_Fuel[Year],0),HLOOKUP(SMR!$E$8&amp;" - Feed-in electricity price",'Fuel Data'!$BB$2:$BX$3,2,FALSE)+1))))</f>
        <v>0</v>
      </c>
      <c r="G17" s="426">
        <f>IF(B17=SMR!$E$9,SMR!$D$48,IF(B17&lt;SMR!$E$9,"",IF(B17&gt;SMR!$D$30+SMR!$E$9,"",0)))</f>
        <v>0</v>
      </c>
      <c r="H17" s="426">
        <f>IF(B17=SMR!$E$9,0,IF(B17&lt;SMR!$E$9,"",IF(B17&gt;SMR!$D$30+SMR!$E$9,"",SMR!$D$48*SMR!$D$29)))</f>
        <v>42.018446703694792</v>
      </c>
      <c r="I17" s="426">
        <f>IF($B17=SMR!$E$9,0,IF($B17&lt;SMR!$E$9,"",IF($B17&gt;SMR!$D$30+SMR!$E$9,"",IF(ISBLANK(SMR!$C$39),(D17*'General values'!$B$26/'General values'!$C$3)*SMR!$D$32*8760*(SMR!$D$34+SMR!$D$35),(SMR!$D$39*'General values'!$B$26/'General values'!$C$3)*SMR!$D$32*8760*(SMR!$D$34+SMR!$D$35)))))</f>
        <v>376.48338971745915</v>
      </c>
      <c r="J17" s="426">
        <f>IF($B17=SMR!$E$9,0,IF($B17&lt;SMR!$E$9,"",IF($B17&gt;SMR!$D$30+SMR!$E$9,"",SMR!$D$41*SMR!$D$55*SMR!$D$44*SMR!$D$60)))</f>
        <v>66.007234467930715</v>
      </c>
      <c r="K17" s="426">
        <f>IF($B17=SMR!$E$9,0,IF($B17&lt;SMR!$E$9,"",IF($B17&gt;SMR!$D$30+SMR!$E$9,"",IF(ISBLANK(SMR!$C$42),E17*(1-SMR!$D$44)*SMR!$D$55*SMR!$D$60,SMR!$D$42*(1-SMR!$D$44)*SMR!$D$55*SMR!$D$60))))</f>
        <v>29.70503116465758</v>
      </c>
      <c r="L17" s="426">
        <f>IF($B17=SMR!$E$9,0,IF($B17&lt;SMR!$E$9,"",IF($B17&gt;SMR!$D$30+SMR!$E$9,"",IF(ISBLANK(SMR!$C$40),-F17*S17*SMR!$D$37,-SMR!$C$40*S17*SMR!$D$37))))</f>
        <v>0</v>
      </c>
      <c r="M17" s="426">
        <f>IF($B17=SMR!$E$9,SUM(G17:L17),IF($B17&lt;SMR!$E$9,"",IF($B17&gt;SMR!$D$30+SMR!$E$9,"",SUM(G17:L17))))</f>
        <v>514.21410205374229</v>
      </c>
      <c r="N17" s="426">
        <f>IF($B17=SMR!$E$9,I17/(1+SMR!$D$31)^'CFA SMR'!C17,IF($B17&lt;SMR!$E$9,"",IF($B17&gt;SMR!$D$30+SMR!$E$9,"",I17/(1+SMR!$D$31)^'CFA SMR'!C17)))</f>
        <v>174.17566577804553</v>
      </c>
      <c r="O17" s="426">
        <f>IF($B17=SMR!$E$9,J17/(1+SMR!$D$31)^'CFA SMR'!C17,IF($B17&lt;SMR!$E$9,"",IF($B17&gt;SMR!$D$30+SMR!$E$9,"",J17/(1+SMR!$D$31)^'CFA SMR'!C17)))</f>
        <v>30.537480068503086</v>
      </c>
      <c r="P17" s="426">
        <f>IF($B17=SMR!$E$9,K17/(1+SMR!$D$31)^'CFA SMR'!C17,IF($B17&lt;SMR!$E$9,"",IF($B17&gt;SMR!$D$30+SMR!$E$9,"",K17/(1+SMR!$D$31)^'CFA SMR'!C17)))</f>
        <v>13.742687516558689</v>
      </c>
      <c r="Q17" s="426">
        <f>IF($B17=SMR!$E$9,L17/(1+SMR!$D$31)^'CFA SMR'!C17,IF($B17&lt;SMR!$E$9,"",IF($B17&gt;SMR!$D$30+SMR!$E$9,"",L17/(1+SMR!$D$31)^'CFA SMR'!C17)))</f>
        <v>0</v>
      </c>
      <c r="R17" s="426">
        <f>IF($B17=SMR!$E$9,M17/(1+SMR!$D$31)^'CFA SMR'!C17,IF($B17&lt;SMR!$E$9,"",IF($B17&gt;SMR!$D$30+SMR!$E$9,"",M17/(1+SMR!$D$31)^'CFA SMR'!C17)))</f>
        <v>237.89517950549035</v>
      </c>
      <c r="S17" s="429">
        <f>IF($B17=SMR!$E$9,0,IF($B17&lt;SMR!$E$9,"",IF($B17&gt;SMR!$D$30+SMR!$E$9,"",SMR!$D$60)))</f>
        <v>249.68496849684971</v>
      </c>
      <c r="T17" s="430">
        <f>IF($B17=SMR!$E$9,S17/(1+SMR!$D$31)^'CFA SMR'!C17,IF($B17&lt;SMR!$E$9,"",IF($B17&gt;SMR!$D$30+SMR!$E$9,"",S17/(1+SMR!$D$31)^'CFA SMR'!C17)))</f>
        <v>115.51384950965966</v>
      </c>
    </row>
    <row r="18" spans="2:20">
      <c r="B18" s="424">
        <v>2036</v>
      </c>
      <c r="C18" s="431">
        <f>IF($B18=SMR!$E$9,B18-HOME!$A$9,IF($B18&lt;SMR!$E$9,"",IF($B18&gt;SMR!$D$30+SMR!$E$9,"",B18-HOME!$A$9)))</f>
        <v>14</v>
      </c>
      <c r="D18" s="426" cm="1">
        <f t="array" ref="D18">IF(B18=SMR!$E$9,"",IF(B18&lt;SMR!$E$9,"",IF(B18&gt;SMR!$D$30+SMR!$E$9,"",INDEX(Tb_Fuel[],MATCH(B18,Tb_Fuel[Year],0),HLOOKUP(SMR!$E$8&amp;" - Gas",'Fuel Data'!$BB$2:$BX$3,2,FALSE)+1))))</f>
        <v>2.8250000000000001E-2</v>
      </c>
      <c r="E18" s="426" cm="1">
        <f t="array" ref="E18">IF(B18=SMR!$E$9,"",IF(B18&lt;SMR!$E$9,"",IF(B18&gt;SMR!$D$30+SMR!$E$9,"",INDEX(Tb_Fuel[],MATCH(B18,Tb_Fuel[Year],0),HLOOKUP(SMR!$E$8&amp;" - CO2 price",'Fuel Data'!$BB$2:$BX$3,2,FALSE)+1))))</f>
        <v>126.8284433922381</v>
      </c>
      <c r="F18" s="426" cm="1">
        <f t="array" ref="F18">IF(B18=SMR!$E$9,"",IF(B18&lt;SMR!$E$9,"",IF(B18&gt;SMR!$D$30+SMR!$E$9,"",INDEX(Tb_Fuel[],MATCH(B18,Tb_Fuel[Year],0),HLOOKUP(SMR!$E$8&amp;" - Feed-in electricity price",'Fuel Data'!$BB$2:$BX$3,2,FALSE)+1))))</f>
        <v>0</v>
      </c>
      <c r="G18" s="426">
        <f>IF(B18=SMR!$E$9,SMR!$D$48,IF(B18&lt;SMR!$E$9,"",IF(B18&gt;SMR!$D$30+SMR!$E$9,"",0)))</f>
        <v>0</v>
      </c>
      <c r="H18" s="426">
        <f>IF(B18=SMR!$E$9,0,IF(B18&lt;SMR!$E$9,"",IF(B18&gt;SMR!$D$30+SMR!$E$9,"",SMR!$D$48*SMR!$D$29)))</f>
        <v>42.018446703694792</v>
      </c>
      <c r="I18" s="426">
        <f>IF($B18=SMR!$E$9,0,IF($B18&lt;SMR!$E$9,"",IF($B18&gt;SMR!$D$30+SMR!$E$9,"",IF(ISBLANK(SMR!$C$39),(D18*'General values'!$B$26/'General values'!$C$3)*SMR!$D$32*8760*(SMR!$D$34+SMR!$D$35),(SMR!$D$39*'General values'!$B$26/'General values'!$C$3)*SMR!$D$32*8760*(SMR!$D$34+SMR!$D$35)))))</f>
        <v>376.48338971745915</v>
      </c>
      <c r="J18" s="426">
        <f>IF($B18=SMR!$E$9,0,IF($B18&lt;SMR!$E$9,"",IF($B18&gt;SMR!$D$30+SMR!$E$9,"",SMR!$D$41*SMR!$D$55*SMR!$D$44*SMR!$D$60)))</f>
        <v>66.007234467930715</v>
      </c>
      <c r="K18" s="426">
        <f>IF($B18=SMR!$E$9,0,IF($B18&lt;SMR!$E$9,"",IF($B18&gt;SMR!$D$30+SMR!$E$9,"",IF(ISBLANK(SMR!$C$42),E18*(1-SMR!$D$44)*SMR!$D$55*SMR!$D$60,SMR!$D$42*(1-SMR!$D$44)*SMR!$D$55*SMR!$D$60))))</f>
        <v>30.729342584128531</v>
      </c>
      <c r="L18" s="426">
        <f>IF($B18=SMR!$E$9,0,IF($B18&lt;SMR!$E$9,"",IF($B18&gt;SMR!$D$30+SMR!$E$9,"",IF(ISBLANK(SMR!$C$40),-F18*S18*SMR!$D$37,-SMR!$C$40*S18*SMR!$D$37))))</f>
        <v>0</v>
      </c>
      <c r="M18" s="426">
        <f>IF($B18=SMR!$E$9,SUM(G18:L18),IF($B18&lt;SMR!$E$9,"",IF($B18&gt;SMR!$D$30+SMR!$E$9,"",SUM(G18:L18))))</f>
        <v>515.2384134732132</v>
      </c>
      <c r="N18" s="426">
        <f>IF($B18=SMR!$E$9,I18/(1+SMR!$D$31)^'CFA SMR'!C18,IF($B18&lt;SMR!$E$9,"",IF($B18&gt;SMR!$D$30+SMR!$E$9,"",I18/(1+SMR!$D$31)^'CFA SMR'!C18)))</f>
        <v>164.14846946346216</v>
      </c>
      <c r="O18" s="426">
        <f>IF($B18=SMR!$E$9,J18/(1+SMR!$D$31)^'CFA SMR'!C18,IF($B18&lt;SMR!$E$9,"",IF($B18&gt;SMR!$D$30+SMR!$E$9,"",J18/(1+SMR!$D$31)^'CFA SMR'!C18)))</f>
        <v>28.779454306226057</v>
      </c>
      <c r="P18" s="426">
        <f>IF($B18=SMR!$E$9,K18/(1+SMR!$D$31)^'CFA SMR'!C18,IF($B18&lt;SMR!$E$9,"",IF($B18&gt;SMR!$D$30+SMR!$E$9,"",K18/(1+SMR!$D$31)^'CFA SMR'!C18)))</f>
        <v>13.398133066610482</v>
      </c>
      <c r="Q18" s="426">
        <f>IF($B18=SMR!$E$9,L18/(1+SMR!$D$31)^'CFA SMR'!C18,IF($B18&lt;SMR!$E$9,"",IF($B18&gt;SMR!$D$30+SMR!$E$9,"",L18/(1+SMR!$D$31)^'CFA SMR'!C18)))</f>
        <v>0</v>
      </c>
      <c r="R18" s="426">
        <f>IF($B18=SMR!$E$9,M18/(1+SMR!$D$31)^'CFA SMR'!C18,IF($B18&lt;SMR!$E$9,"",IF($B18&gt;SMR!$D$30+SMR!$E$9,"",M18/(1+SMR!$D$31)^'CFA SMR'!C18)))</f>
        <v>224.64629062090148</v>
      </c>
      <c r="S18" s="429">
        <f>IF($B18=SMR!$E$9,0,IF($B18&lt;SMR!$E$9,"",IF($B18&gt;SMR!$D$30+SMR!$E$9,"",SMR!$D$60)))</f>
        <v>249.68496849684971</v>
      </c>
      <c r="T18" s="430">
        <f>IF($B18=SMR!$E$9,S18/(1+SMR!$D$31)^'CFA SMR'!C18,IF($B18&lt;SMR!$E$9,"",IF($B18&gt;SMR!$D$30+SMR!$E$9,"",S18/(1+SMR!$D$31)^'CFA SMR'!C18)))</f>
        <v>108.86378136774935</v>
      </c>
    </row>
    <row r="19" spans="2:20">
      <c r="B19" s="424">
        <v>2037</v>
      </c>
      <c r="C19" s="431">
        <f>IF($B19=SMR!$E$9,B19-HOME!$A$9,IF($B19&lt;SMR!$E$9,"",IF($B19&gt;SMR!$D$30+SMR!$E$9,"",B19-HOME!$A$9)))</f>
        <v>15</v>
      </c>
      <c r="D19" s="426" cm="1">
        <f t="array" ref="D19">IF(B19=SMR!$E$9,"",IF(B19&lt;SMR!$E$9,"",IF(B19&gt;SMR!$D$30+SMR!$E$9,"",INDEX(Tb_Fuel[],MATCH(B19,Tb_Fuel[Year],0),HLOOKUP(SMR!$E$8&amp;" - Gas",'Fuel Data'!$BB$2:$BX$3,2,FALSE)+1))))</f>
        <v>2.8250000000000001E-2</v>
      </c>
      <c r="E19" s="426" cm="1">
        <f t="array" ref="E19">IF(B19=SMR!$E$9,"",IF(B19&lt;SMR!$E$9,"",IF(B19&gt;SMR!$D$30+SMR!$E$9,"",INDEX(Tb_Fuel[],MATCH(B19,Tb_Fuel[Year],0),HLOOKUP(SMR!$E$8&amp;" - CO2 price",'Fuel Data'!$BB$2:$BX$3,2,FALSE)+1))))</f>
        <v>131.05605817197937</v>
      </c>
      <c r="F19" s="426" cm="1">
        <f t="array" ref="F19">IF(B19=SMR!$E$9,"",IF(B19&lt;SMR!$E$9,"",IF(B19&gt;SMR!$D$30+SMR!$E$9,"",INDEX(Tb_Fuel[],MATCH(B19,Tb_Fuel[Year],0),HLOOKUP(SMR!$E$8&amp;" - Feed-in electricity price",'Fuel Data'!$BB$2:$BX$3,2,FALSE)+1))))</f>
        <v>0</v>
      </c>
      <c r="G19" s="426">
        <f>IF(B19=SMR!$E$9,SMR!$D$48,IF(B19&lt;SMR!$E$9,"",IF(B19&gt;SMR!$D$30+SMR!$E$9,"",0)))</f>
        <v>0</v>
      </c>
      <c r="H19" s="426">
        <f>IF(B19=SMR!$E$9,0,IF(B19&lt;SMR!$E$9,"",IF(B19&gt;SMR!$D$30+SMR!$E$9,"",SMR!$D$48*SMR!$D$29)))</f>
        <v>42.018446703694792</v>
      </c>
      <c r="I19" s="426">
        <f>IF($B19=SMR!$E$9,0,IF($B19&lt;SMR!$E$9,"",IF($B19&gt;SMR!$D$30+SMR!$E$9,"",IF(ISBLANK(SMR!$C$39),(D19*'General values'!$B$26/'General values'!$C$3)*SMR!$D$32*8760*(SMR!$D$34+SMR!$D$35),(SMR!$D$39*'General values'!$B$26/'General values'!$C$3)*SMR!$D$32*8760*(SMR!$D$34+SMR!$D$35)))))</f>
        <v>376.48338971745915</v>
      </c>
      <c r="J19" s="426">
        <f>IF($B19=SMR!$E$9,0,IF($B19&lt;SMR!$E$9,"",IF($B19&gt;SMR!$D$30+SMR!$E$9,"",SMR!$D$41*SMR!$D$55*SMR!$D$44*SMR!$D$60)))</f>
        <v>66.007234467930715</v>
      </c>
      <c r="K19" s="426">
        <f>IF($B19=SMR!$E$9,0,IF($B19&lt;SMR!$E$9,"",IF($B19&gt;SMR!$D$30+SMR!$E$9,"",IF(ISBLANK(SMR!$C$42),E19*(1-SMR!$D$44)*SMR!$D$55*SMR!$D$60,SMR!$D$42*(1-SMR!$D$44)*SMR!$D$55*SMR!$D$60))))</f>
        <v>31.753654003599486</v>
      </c>
      <c r="L19" s="426">
        <f>IF($B19=SMR!$E$9,0,IF($B19&lt;SMR!$E$9,"",IF($B19&gt;SMR!$D$30+SMR!$E$9,"",IF(ISBLANK(SMR!$C$40),-F19*S19*SMR!$D$37,-SMR!$C$40*S19*SMR!$D$37))))</f>
        <v>0</v>
      </c>
      <c r="M19" s="426">
        <f>IF($B19=SMR!$E$9,SUM(G19:L19),IF($B19&lt;SMR!$E$9,"",IF($B19&gt;SMR!$D$30+SMR!$E$9,"",SUM(G19:L19))))</f>
        <v>516.26272489268422</v>
      </c>
      <c r="N19" s="426">
        <f>IF($B19=SMR!$E$9,I19/(1+SMR!$D$31)^'CFA SMR'!C19,IF($B19&lt;SMR!$E$9,"",IF($B19&gt;SMR!$D$30+SMR!$E$9,"",I19/(1+SMR!$D$31)^'CFA SMR'!C19)))</f>
        <v>154.69853327004483</v>
      </c>
      <c r="O19" s="426">
        <f>IF($B19=SMR!$E$9,J19/(1+SMR!$D$31)^'CFA SMR'!C19,IF($B19&lt;SMR!$E$9,"",IF($B19&gt;SMR!$D$30+SMR!$E$9,"",J19/(1+SMR!$D$31)^'CFA SMR'!C19)))</f>
        <v>27.122637110402355</v>
      </c>
      <c r="P19" s="426">
        <f>IF($B19=SMR!$E$9,K19/(1+SMR!$D$31)^'CFA SMR'!C19,IF($B19&lt;SMR!$E$9,"",IF($B19&gt;SMR!$D$30+SMR!$E$9,"",K19/(1+SMR!$D$31)^'CFA SMR'!C19)))</f>
        <v>13.047703655685412</v>
      </c>
      <c r="Q19" s="426">
        <f>IF($B19=SMR!$E$9,L19/(1+SMR!$D$31)^'CFA SMR'!C19,IF($B19&lt;SMR!$E$9,"",IF($B19&gt;SMR!$D$30+SMR!$E$9,"",L19/(1+SMR!$D$31)^'CFA SMR'!C19)))</f>
        <v>0</v>
      </c>
      <c r="R19" s="426">
        <f>IF($B19=SMR!$E$9,M19/(1+SMR!$D$31)^'CFA SMR'!C19,IF($B19&lt;SMR!$E$9,"",IF($B19&gt;SMR!$D$30+SMR!$E$9,"",M19/(1+SMR!$D$31)^'CFA SMR'!C19)))</f>
        <v>212.13442213966346</v>
      </c>
      <c r="S19" s="429">
        <f>IF($B19=SMR!$E$9,0,IF($B19&lt;SMR!$E$9,"",IF($B19&gt;SMR!$D$30+SMR!$E$9,"",SMR!$D$60)))</f>
        <v>249.68496849684971</v>
      </c>
      <c r="T19" s="430">
        <f>IF($B19=SMR!$E$9,S19/(1+SMR!$D$31)^'CFA SMR'!C19,IF($B19&lt;SMR!$E$9,"",IF($B19&gt;SMR!$D$30+SMR!$E$9,"",S19/(1+SMR!$D$31)^'CFA SMR'!C19)))</f>
        <v>102.59655395428658</v>
      </c>
    </row>
    <row r="20" spans="2:20">
      <c r="B20" s="424">
        <v>2038</v>
      </c>
      <c r="C20" s="431">
        <f>IF($B20=SMR!$E$9,B20-HOME!$A$9,IF($B20&lt;SMR!$E$9,"",IF($B20&gt;SMR!$D$30+SMR!$E$9,"",B20-HOME!$A$9)))</f>
        <v>16</v>
      </c>
      <c r="D20" s="426" cm="1">
        <f t="array" ref="D20">IF(B20=SMR!$E$9,"",IF(B20&lt;SMR!$E$9,"",IF(B20&gt;SMR!$D$30+SMR!$E$9,"",INDEX(Tb_Fuel[],MATCH(B20,Tb_Fuel[Year],0),HLOOKUP(SMR!$E$8&amp;" - Gas",'Fuel Data'!$BB$2:$BX$3,2,FALSE)+1))))</f>
        <v>2.8250000000000001E-2</v>
      </c>
      <c r="E20" s="426" cm="1">
        <f t="array" ref="E20">IF(B20=SMR!$E$9,"",IF(B20&lt;SMR!$E$9,"",IF(B20&gt;SMR!$D$30+SMR!$E$9,"",INDEX(Tb_Fuel[],MATCH(B20,Tb_Fuel[Year],0),HLOOKUP(SMR!$E$8&amp;" - CO2 price",'Fuel Data'!$BB$2:$BX$3,2,FALSE)+1))))</f>
        <v>135.28367295172063</v>
      </c>
      <c r="F20" s="426" cm="1">
        <f t="array" ref="F20">IF(B20=SMR!$E$9,"",IF(B20&lt;SMR!$E$9,"",IF(B20&gt;SMR!$D$30+SMR!$E$9,"",INDEX(Tb_Fuel[],MATCH(B20,Tb_Fuel[Year],0),HLOOKUP(SMR!$E$8&amp;" - Feed-in electricity price",'Fuel Data'!$BB$2:$BX$3,2,FALSE)+1))))</f>
        <v>0</v>
      </c>
      <c r="G20" s="426">
        <f>IF(B20=SMR!$E$9,SMR!$D$48,IF(B20&lt;SMR!$E$9,"",IF(B20&gt;SMR!$D$30+SMR!$E$9,"",0)))</f>
        <v>0</v>
      </c>
      <c r="H20" s="426">
        <f>IF(B20=SMR!$E$9,0,IF(B20&lt;SMR!$E$9,"",IF(B20&gt;SMR!$D$30+SMR!$E$9,"",SMR!$D$48*SMR!$D$29)))</f>
        <v>42.018446703694792</v>
      </c>
      <c r="I20" s="426">
        <f>IF($B20=SMR!$E$9,0,IF($B20&lt;SMR!$E$9,"",IF($B20&gt;SMR!$D$30+SMR!$E$9,"",IF(ISBLANK(SMR!$C$39),(D20*'General values'!$B$26/'General values'!$C$3)*SMR!$D$32*8760*(SMR!$D$34+SMR!$D$35),(SMR!$D$39*'General values'!$B$26/'General values'!$C$3)*SMR!$D$32*8760*(SMR!$D$34+SMR!$D$35)))))</f>
        <v>376.48338971745915</v>
      </c>
      <c r="J20" s="426">
        <f>IF($B20=SMR!$E$9,0,IF($B20&lt;SMR!$E$9,"",IF($B20&gt;SMR!$D$30+SMR!$E$9,"",SMR!$D$41*SMR!$D$55*SMR!$D$44*SMR!$D$60)))</f>
        <v>66.007234467930715</v>
      </c>
      <c r="K20" s="426">
        <f>IF($B20=SMR!$E$9,0,IF($B20&lt;SMR!$E$9,"",IF($B20&gt;SMR!$D$30+SMR!$E$9,"",IF(ISBLANK(SMR!$C$42),E20*(1-SMR!$D$44)*SMR!$D$55*SMR!$D$60,SMR!$D$42*(1-SMR!$D$44)*SMR!$D$55*SMR!$D$60))))</f>
        <v>32.777965423070434</v>
      </c>
      <c r="L20" s="426">
        <f>IF($B20=SMR!$E$9,0,IF($B20&lt;SMR!$E$9,"",IF($B20&gt;SMR!$D$30+SMR!$E$9,"",IF(ISBLANK(SMR!$C$40),-F20*S20*SMR!$D$37,-SMR!$C$40*S20*SMR!$D$37))))</f>
        <v>0</v>
      </c>
      <c r="M20" s="426">
        <f>IF($B20=SMR!$E$9,SUM(G20:L20),IF($B20&lt;SMR!$E$9,"",IF($B20&gt;SMR!$D$30+SMR!$E$9,"",SUM(G20:L20))))</f>
        <v>517.28703631215512</v>
      </c>
      <c r="N20" s="426">
        <f>IF($B20=SMR!$E$9,I20/(1+SMR!$D$31)^'CFA SMR'!C20,IF($B20&lt;SMR!$E$9,"",IF($B20&gt;SMR!$D$30+SMR!$E$9,"",I20/(1+SMR!$D$31)^'CFA SMR'!C20)))</f>
        <v>145.79262465331792</v>
      </c>
      <c r="O20" s="426">
        <f>IF($B20=SMR!$E$9,J20/(1+SMR!$D$31)^'CFA SMR'!C20,IF($B20&lt;SMR!$E$9,"",IF($B20&gt;SMR!$D$30+SMR!$E$9,"",J20/(1+SMR!$D$31)^'CFA SMR'!C20)))</f>
        <v>25.561201960088212</v>
      </c>
      <c r="P20" s="426">
        <f>IF($B20=SMR!$E$9,K20/(1+SMR!$D$31)^'CFA SMR'!C20,IF($B20&lt;SMR!$E$9,"",IF($B20&gt;SMR!$D$30+SMR!$E$9,"",K20/(1+SMR!$D$31)^'CFA SMR'!C20)))</f>
        <v>12.693217656724492</v>
      </c>
      <c r="Q20" s="426">
        <f>IF($B20=SMR!$E$9,L20/(1+SMR!$D$31)^'CFA SMR'!C20,IF($B20&lt;SMR!$E$9,"",IF($B20&gt;SMR!$D$30+SMR!$E$9,"",L20/(1+SMR!$D$31)^'CFA SMR'!C20)))</f>
        <v>0</v>
      </c>
      <c r="R20" s="426">
        <f>IF($B20=SMR!$E$9,M20/(1+SMR!$D$31)^'CFA SMR'!C20,IF($B20&lt;SMR!$E$9,"",IF($B20&gt;SMR!$D$30+SMR!$E$9,"",M20/(1+SMR!$D$31)^'CFA SMR'!C20)))</f>
        <v>200.31862436131235</v>
      </c>
      <c r="S20" s="429">
        <f>IF($B20=SMR!$E$9,0,IF($B20&lt;SMR!$E$9,"",IF($B20&gt;SMR!$D$30+SMR!$E$9,"",SMR!$D$60)))</f>
        <v>249.68496849684971</v>
      </c>
      <c r="T20" s="430">
        <f>IF($B20=SMR!$E$9,S20/(1+SMR!$D$31)^'CFA SMR'!C20,IF($B20&lt;SMR!$E$9,"",IF($B20&gt;SMR!$D$30+SMR!$E$9,"",S20/(1+SMR!$D$31)^'CFA SMR'!C20)))</f>
        <v>96.690127341223814</v>
      </c>
    </row>
    <row r="21" spans="2:20">
      <c r="B21" s="424">
        <v>2039</v>
      </c>
      <c r="C21" s="431">
        <f>IF($B21=SMR!$E$9,B21-HOME!$A$9,IF($B21&lt;SMR!$E$9,"",IF($B21&gt;SMR!$D$30+SMR!$E$9,"",B21-HOME!$A$9)))</f>
        <v>17</v>
      </c>
      <c r="D21" s="426" cm="1">
        <f t="array" ref="D21">IF(B21=SMR!$E$9,"",IF(B21&lt;SMR!$E$9,"",IF(B21&gt;SMR!$D$30+SMR!$E$9,"",INDEX(Tb_Fuel[],MATCH(B21,Tb_Fuel[Year],0),HLOOKUP(SMR!$E$8&amp;" - Gas",'Fuel Data'!$BB$2:$BX$3,2,FALSE)+1))))</f>
        <v>2.8250000000000001E-2</v>
      </c>
      <c r="E21" s="426" cm="1">
        <f t="array" ref="E21">IF(B21=SMR!$E$9,"",IF(B21&lt;SMR!$E$9,"",IF(B21&gt;SMR!$D$30+SMR!$E$9,"",INDEX(Tb_Fuel[],MATCH(B21,Tb_Fuel[Year],0),HLOOKUP(SMR!$E$8&amp;" - CO2 price",'Fuel Data'!$BB$2:$BX$3,2,FALSE)+1))))</f>
        <v>139.51128773146189</v>
      </c>
      <c r="F21" s="426" cm="1">
        <f t="array" ref="F21">IF(B21=SMR!$E$9,"",IF(B21&lt;SMR!$E$9,"",IF(B21&gt;SMR!$D$30+SMR!$E$9,"",INDEX(Tb_Fuel[],MATCH(B21,Tb_Fuel[Year],0),HLOOKUP(SMR!$E$8&amp;" - Feed-in electricity price",'Fuel Data'!$BB$2:$BX$3,2,FALSE)+1))))</f>
        <v>0</v>
      </c>
      <c r="G21" s="426">
        <f>IF(B21=SMR!$E$9,SMR!$D$48,IF(B21&lt;SMR!$E$9,"",IF(B21&gt;SMR!$D$30+SMR!$E$9,"",0)))</f>
        <v>0</v>
      </c>
      <c r="H21" s="426">
        <f>IF(B21=SMR!$E$9,0,IF(B21&lt;SMR!$E$9,"",IF(B21&gt;SMR!$D$30+SMR!$E$9,"",SMR!$D$48*SMR!$D$29)))</f>
        <v>42.018446703694792</v>
      </c>
      <c r="I21" s="426">
        <f>IF($B21=SMR!$E$9,0,IF($B21&lt;SMR!$E$9,"",IF($B21&gt;SMR!$D$30+SMR!$E$9,"",IF(ISBLANK(SMR!$C$39),(D21*'General values'!$B$26/'General values'!$C$3)*SMR!$D$32*8760*(SMR!$D$34+SMR!$D$35),(SMR!$D$39*'General values'!$B$26/'General values'!$C$3)*SMR!$D$32*8760*(SMR!$D$34+SMR!$D$35)))))</f>
        <v>376.48338971745915</v>
      </c>
      <c r="J21" s="426">
        <f>IF($B21=SMR!$E$9,0,IF($B21&lt;SMR!$E$9,"",IF($B21&gt;SMR!$D$30+SMR!$E$9,"",SMR!$D$41*SMR!$D$55*SMR!$D$44*SMR!$D$60)))</f>
        <v>66.007234467930715</v>
      </c>
      <c r="K21" s="426">
        <f>IF($B21=SMR!$E$9,0,IF($B21&lt;SMR!$E$9,"",IF($B21&gt;SMR!$D$30+SMR!$E$9,"",IF(ISBLANK(SMR!$C$42),E21*(1-SMR!$D$44)*SMR!$D$55*SMR!$D$60,SMR!$D$42*(1-SMR!$D$44)*SMR!$D$55*SMR!$D$60))))</f>
        <v>33.802276842541374</v>
      </c>
      <c r="L21" s="426">
        <f>IF($B21=SMR!$E$9,0,IF($B21&lt;SMR!$E$9,"",IF($B21&gt;SMR!$D$30+SMR!$E$9,"",IF(ISBLANK(SMR!$C$40),-F21*S21*SMR!$D$37,-SMR!$C$40*S21*SMR!$D$37))))</f>
        <v>0</v>
      </c>
      <c r="M21" s="426">
        <f>IF($B21=SMR!$E$9,SUM(G21:L21),IF($B21&lt;SMR!$E$9,"",IF($B21&gt;SMR!$D$30+SMR!$E$9,"",SUM(G21:L21))))</f>
        <v>518.31134773162603</v>
      </c>
      <c r="N21" s="426">
        <f>IF($B21=SMR!$E$9,I21/(1+SMR!$D$31)^'CFA SMR'!C21,IF($B21&lt;SMR!$E$9,"",IF($B21&gt;SMR!$D$30+SMR!$E$9,"",I21/(1+SMR!$D$31)^'CFA SMR'!C21)))</f>
        <v>137.39942424792898</v>
      </c>
      <c r="O21" s="426">
        <f>IF($B21=SMR!$E$9,J21/(1+SMR!$D$31)^'CFA SMR'!C21,IF($B21&lt;SMR!$E$9,"",IF($B21&gt;SMR!$D$30+SMR!$E$9,"",J21/(1+SMR!$D$31)^'CFA SMR'!C21)))</f>
        <v>24.089657763913689</v>
      </c>
      <c r="P21" s="426">
        <f>IF($B21=SMR!$E$9,K21/(1+SMR!$D$31)^'CFA SMR'!C21,IF($B21&lt;SMR!$E$9,"",IF($B21&gt;SMR!$D$30+SMR!$E$9,"",K21/(1+SMR!$D$31)^'CFA SMR'!C21)))</f>
        <v>12.336303548264896</v>
      </c>
      <c r="Q21" s="426">
        <f>IF($B21=SMR!$E$9,L21/(1+SMR!$D$31)^'CFA SMR'!C21,IF($B21&lt;SMR!$E$9,"",IF($B21&gt;SMR!$D$30+SMR!$E$9,"",L21/(1+SMR!$D$31)^'CFA SMR'!C21)))</f>
        <v>0</v>
      </c>
      <c r="R21" s="426">
        <f>IF($B21=SMR!$E$9,M21/(1+SMR!$D$31)^'CFA SMR'!C21,IF($B21&lt;SMR!$E$9,"",IF($B21&gt;SMR!$D$30+SMR!$E$9,"",M21/(1+SMR!$D$31)^'CFA SMR'!C21)))</f>
        <v>189.16021982520667</v>
      </c>
      <c r="S21" s="429">
        <f>IF($B21=SMR!$E$9,0,IF($B21&lt;SMR!$E$9,"",IF($B21&gt;SMR!$D$30+SMR!$E$9,"",SMR!$D$60)))</f>
        <v>249.68496849684971</v>
      </c>
      <c r="T21" s="430">
        <f>IF($B21=SMR!$E$9,S21/(1+SMR!$D$31)^'CFA SMR'!C21,IF($B21&lt;SMR!$E$9,"",IF($B21&gt;SMR!$D$30+SMR!$E$9,"",S21/(1+SMR!$D$31)^'CFA SMR'!C21)))</f>
        <v>91.123730426926954</v>
      </c>
    </row>
    <row r="22" spans="2:20">
      <c r="B22" s="424">
        <v>2040</v>
      </c>
      <c r="C22" s="431">
        <f>IF($B22=SMR!$E$9,B22-HOME!$A$9,IF($B22&lt;SMR!$E$9,"",IF($B22&gt;SMR!$D$30+SMR!$E$9,"",B22-HOME!$A$9)))</f>
        <v>18</v>
      </c>
      <c r="D22" s="426" cm="1">
        <f t="array" ref="D22">IF(B22=SMR!$E$9,"",IF(B22&lt;SMR!$E$9,"",IF(B22&gt;SMR!$D$30+SMR!$E$9,"",INDEX(Tb_Fuel[],MATCH(B22,Tb_Fuel[Year],0),HLOOKUP(SMR!$E$8&amp;" - Gas",'Fuel Data'!$BB$2:$BX$3,2,FALSE)+1))))</f>
        <v>2.8250000000000001E-2</v>
      </c>
      <c r="E22" s="426" cm="1">
        <f t="array" ref="E22">IF(B22=SMR!$E$9,"",IF(B22&lt;SMR!$E$9,"",IF(B22&gt;SMR!$D$30+SMR!$E$9,"",INDEX(Tb_Fuel[],MATCH(B22,Tb_Fuel[Year],0),HLOOKUP(SMR!$E$8&amp;" - CO2 price",'Fuel Data'!$BB$2:$BX$3,2,FALSE)+1))))</f>
        <v>143.73890251120318</v>
      </c>
      <c r="F22" s="426" cm="1">
        <f t="array" ref="F22">IF(B22=SMR!$E$9,"",IF(B22&lt;SMR!$E$9,"",IF(B22&gt;SMR!$D$30+SMR!$E$9,"",INDEX(Tb_Fuel[],MATCH(B22,Tb_Fuel[Year],0),HLOOKUP(SMR!$E$8&amp;" - Feed-in electricity price",'Fuel Data'!$BB$2:$BX$3,2,FALSE)+1))))</f>
        <v>0</v>
      </c>
      <c r="G22" s="426">
        <f>IF(B22=SMR!$E$9,SMR!$D$48,IF(B22&lt;SMR!$E$9,"",IF(B22&gt;SMR!$D$30+SMR!$E$9,"",0)))</f>
        <v>0</v>
      </c>
      <c r="H22" s="426">
        <f>IF(B22=SMR!$E$9,0,IF(B22&lt;SMR!$E$9,"",IF(B22&gt;SMR!$D$30+SMR!$E$9,"",SMR!$D$48*SMR!$D$29)))</f>
        <v>42.018446703694792</v>
      </c>
      <c r="I22" s="426">
        <f>IF($B22=SMR!$E$9,0,IF($B22&lt;SMR!$E$9,"",IF($B22&gt;SMR!$D$30+SMR!$E$9,"",IF(ISBLANK(SMR!$C$39),(D22*'General values'!$B$26/'General values'!$C$3)*SMR!$D$32*8760*(SMR!$D$34+SMR!$D$35),(SMR!$D$39*'General values'!$B$26/'General values'!$C$3)*SMR!$D$32*8760*(SMR!$D$34+SMR!$D$35)))))</f>
        <v>376.48338971745915</v>
      </c>
      <c r="J22" s="426">
        <f>IF($B22=SMR!$E$9,0,IF($B22&lt;SMR!$E$9,"",IF($B22&gt;SMR!$D$30+SMR!$E$9,"",SMR!$D$41*SMR!$D$55*SMR!$D$44*SMR!$D$60)))</f>
        <v>66.007234467930715</v>
      </c>
      <c r="K22" s="426">
        <f>IF($B22=SMR!$E$9,0,IF($B22&lt;SMR!$E$9,"",IF($B22&gt;SMR!$D$30+SMR!$E$9,"",IF(ISBLANK(SMR!$C$42),E22*(1-SMR!$D$44)*SMR!$D$55*SMR!$D$60,SMR!$D$42*(1-SMR!$D$44)*SMR!$D$55*SMR!$D$60))))</f>
        <v>34.826588262012336</v>
      </c>
      <c r="L22" s="426">
        <f>IF($B22=SMR!$E$9,0,IF($B22&lt;SMR!$E$9,"",IF($B22&gt;SMR!$D$30+SMR!$E$9,"",IF(ISBLANK(SMR!$C$40),-F22*S22*SMR!$D$37,-SMR!$C$40*S22*SMR!$D$37))))</f>
        <v>0</v>
      </c>
      <c r="M22" s="426">
        <f>IF($B22=SMR!$E$9,SUM(G22:L22),IF($B22&lt;SMR!$E$9,"",IF($B22&gt;SMR!$D$30+SMR!$E$9,"",SUM(G22:L22))))</f>
        <v>519.33565915109705</v>
      </c>
      <c r="N22" s="426">
        <f>IF($B22=SMR!$E$9,I22/(1+SMR!$D$31)^'CFA SMR'!C22,IF($B22&lt;SMR!$E$9,"",IF($B22&gt;SMR!$D$30+SMR!$E$9,"",I22/(1+SMR!$D$31)^'CFA SMR'!C22)))</f>
        <v>129.48941572698917</v>
      </c>
      <c r="O22" s="426">
        <f>IF($B22=SMR!$E$9,J22/(1+SMR!$D$31)^'CFA SMR'!C22,IF($B22&lt;SMR!$E$9,"",IF($B22&gt;SMR!$D$30+SMR!$E$9,"",J22/(1+SMR!$D$31)^'CFA SMR'!C22)))</f>
        <v>22.702829549588376</v>
      </c>
      <c r="P22" s="426">
        <f>IF($B22=SMR!$E$9,K22/(1+SMR!$D$31)^'CFA SMR'!C22,IF($B22&lt;SMR!$E$9,"",IF($B22&gt;SMR!$D$30+SMR!$E$9,"",K22/(1+SMR!$D$31)^'CFA SMR'!C22)))</f>
        <v>11.978415752144571</v>
      </c>
      <c r="Q22" s="426">
        <f>IF($B22=SMR!$E$9,L22/(1+SMR!$D$31)^'CFA SMR'!C22,IF($B22&lt;SMR!$E$9,"",IF($B22&gt;SMR!$D$30+SMR!$E$9,"",L22/(1+SMR!$D$31)^'CFA SMR'!C22)))</f>
        <v>0</v>
      </c>
      <c r="R22" s="426">
        <f>IF($B22=SMR!$E$9,M22/(1+SMR!$D$31)^'CFA SMR'!C22,IF($B22&lt;SMR!$E$9,"",IF($B22&gt;SMR!$D$30+SMR!$E$9,"",M22/(1+SMR!$D$31)^'CFA SMR'!C22)))</f>
        <v>178.62267740453183</v>
      </c>
      <c r="S22" s="429">
        <f>IF($B22=SMR!$E$9,0,IF($B22&lt;SMR!$E$9,"",IF($B22&gt;SMR!$D$30+SMR!$E$9,"",SMR!$D$60)))</f>
        <v>249.68496849684971</v>
      </c>
      <c r="T22" s="430">
        <f>IF($B22=SMR!$E$9,S22/(1+SMR!$D$31)^'CFA SMR'!C22,IF($B22&lt;SMR!$E$9,"",IF($B22&gt;SMR!$D$30+SMR!$E$9,"",S22/(1+SMR!$D$31)^'CFA SMR'!C22)))</f>
        <v>85.877787890543445</v>
      </c>
    </row>
    <row r="23" spans="2:20">
      <c r="B23" s="424">
        <v>2041</v>
      </c>
      <c r="C23" s="431">
        <f>IF($B23=SMR!$E$9,B23-HOME!$A$9,IF($B23&lt;SMR!$E$9,"",IF($B23&gt;SMR!$D$30+SMR!$E$9,"",B23-HOME!$A$9)))</f>
        <v>19</v>
      </c>
      <c r="D23" s="426" cm="1">
        <f t="array" ref="D23">IF(B23=SMR!$E$9,"",IF(B23&lt;SMR!$E$9,"",IF(B23&gt;SMR!$D$30+SMR!$E$9,"",INDEX(Tb_Fuel[],MATCH(B23,Tb_Fuel[Year],0),HLOOKUP(SMR!$E$8&amp;" - Gas",'Fuel Data'!$BB$2:$BX$3,2,FALSE)+1))))</f>
        <v>2.8250000000000001E-2</v>
      </c>
      <c r="E23" s="426" cm="1">
        <f t="array" ref="E23">IF(B23=SMR!$E$9,"",IF(B23&lt;SMR!$E$9,"",IF(B23&gt;SMR!$D$30+SMR!$E$9,"",INDEX(Tb_Fuel[],MATCH(B23,Tb_Fuel[Year],0),HLOOKUP(SMR!$E$8&amp;" - CO2 price",'Fuel Data'!$BB$2:$BX$3,2,FALSE)+1))))</f>
        <v>146.27547137904793</v>
      </c>
      <c r="F23" s="426" cm="1">
        <f t="array" ref="F23">IF(B23=SMR!$E$9,"",IF(B23&lt;SMR!$E$9,"",IF(B23&gt;SMR!$D$30+SMR!$E$9,"",INDEX(Tb_Fuel[],MATCH(B23,Tb_Fuel[Year],0),HLOOKUP(SMR!$E$8&amp;" - Feed-in electricity price",'Fuel Data'!$BB$2:$BX$3,2,FALSE)+1))))</f>
        <v>0</v>
      </c>
      <c r="G23" s="426">
        <f>IF(B23=SMR!$E$9,SMR!$D$48,IF(B23&lt;SMR!$E$9,"",IF(B23&gt;SMR!$D$30+SMR!$E$9,"",0)))</f>
        <v>0</v>
      </c>
      <c r="H23" s="426">
        <f>IF(B23=SMR!$E$9,0,IF(B23&lt;SMR!$E$9,"",IF(B23&gt;SMR!$D$30+SMR!$E$9,"",SMR!$D$48*SMR!$D$29)))</f>
        <v>42.018446703694792</v>
      </c>
      <c r="I23" s="426">
        <f>IF($B23=SMR!$E$9,0,IF($B23&lt;SMR!$E$9,"",IF($B23&gt;SMR!$D$30+SMR!$E$9,"",IF(ISBLANK(SMR!$C$39),(D23*'General values'!$B$26/'General values'!$C$3)*SMR!$D$32*8760*(SMR!$D$34+SMR!$D$35),(SMR!$D$39*'General values'!$B$26/'General values'!$C$3)*SMR!$D$32*8760*(SMR!$D$34+SMR!$D$35)))))</f>
        <v>376.48338971745915</v>
      </c>
      <c r="J23" s="426">
        <f>IF($B23=SMR!$E$9,0,IF($B23&lt;SMR!$E$9,"",IF($B23&gt;SMR!$D$30+SMR!$E$9,"",SMR!$D$41*SMR!$D$55*SMR!$D$44*SMR!$D$60)))</f>
        <v>66.007234467930715</v>
      </c>
      <c r="K23" s="426">
        <f>IF($B23=SMR!$E$9,0,IF($B23&lt;SMR!$E$9,"",IF($B23&gt;SMR!$D$30+SMR!$E$9,"",IF(ISBLANK(SMR!$C$42),E23*(1-SMR!$D$44)*SMR!$D$55*SMR!$D$60,SMR!$D$42*(1-SMR!$D$44)*SMR!$D$55*SMR!$D$60))))</f>
        <v>35.441175113694904</v>
      </c>
      <c r="L23" s="426">
        <f>IF($B23=SMR!$E$9,0,IF($B23&lt;SMR!$E$9,"",IF($B23&gt;SMR!$D$30+SMR!$E$9,"",IF(ISBLANK(SMR!$C$40),-F23*S23*SMR!$D$37,-SMR!$C$40*S23*SMR!$D$37))))</f>
        <v>0</v>
      </c>
      <c r="M23" s="426">
        <f>IF($B23=SMR!$E$9,SUM(G23:L23),IF($B23&lt;SMR!$E$9,"",IF($B23&gt;SMR!$D$30+SMR!$E$9,"",SUM(G23:L23))))</f>
        <v>519.95024600277964</v>
      </c>
      <c r="N23" s="426">
        <f>IF($B23=SMR!$E$9,I23/(1+SMR!$D$31)^'CFA SMR'!C23,IF($B23&lt;SMR!$E$9,"",IF($B23&gt;SMR!$D$30+SMR!$E$9,"",I23/(1+SMR!$D$31)^'CFA SMR'!C23)))</f>
        <v>122.03478200215068</v>
      </c>
      <c r="O23" s="426">
        <f>IF($B23=SMR!$E$9,J23/(1+SMR!$D$31)^'CFA SMR'!C23,IF($B23&lt;SMR!$E$9,"",IF($B23&gt;SMR!$D$30+SMR!$E$9,"",J23/(1+SMR!$D$31)^'CFA SMR'!C23)))</f>
        <v>21.395840265101658</v>
      </c>
      <c r="P23" s="426">
        <f>IF($B23=SMR!$E$9,K23/(1+SMR!$D$31)^'CFA SMR'!C23,IF($B23&lt;SMR!$E$9,"",IF($B23&gt;SMR!$D$30+SMR!$E$9,"",K23/(1+SMR!$D$31)^'CFA SMR'!C23)))</f>
        <v>11.488039571003773</v>
      </c>
      <c r="Q23" s="426">
        <f>IF($B23=SMR!$E$9,L23/(1+SMR!$D$31)^'CFA SMR'!C23,IF($B23&lt;SMR!$E$9,"",IF($B23&gt;SMR!$D$30+SMR!$E$9,"",L23/(1+SMR!$D$31)^'CFA SMR'!C23)))</f>
        <v>0</v>
      </c>
      <c r="R23" s="426">
        <f>IF($B23=SMR!$E$9,M23/(1+SMR!$D$31)^'CFA SMR'!C23,IF($B23&lt;SMR!$E$9,"",IF($B23&gt;SMR!$D$30+SMR!$E$9,"",M23/(1+SMR!$D$31)^'CFA SMR'!C23)))</f>
        <v>168.53868366020848</v>
      </c>
      <c r="S23" s="429">
        <f>IF($B23=SMR!$E$9,0,IF($B23&lt;SMR!$E$9,"",IF($B23&gt;SMR!$D$30+SMR!$E$9,"",SMR!$D$60)))</f>
        <v>249.68496849684971</v>
      </c>
      <c r="T23" s="430">
        <f>IF($B23=SMR!$E$9,S23/(1+SMR!$D$31)^'CFA SMR'!C23,IF($B23&lt;SMR!$E$9,"",IF($B23&gt;SMR!$D$30+SMR!$E$9,"",S23/(1+SMR!$D$31)^'CFA SMR'!C23)))</f>
        <v>80.933851351567014</v>
      </c>
    </row>
    <row r="24" spans="2:20">
      <c r="B24" s="424">
        <v>2042</v>
      </c>
      <c r="C24" s="431">
        <f>IF($B24=SMR!$E$9,B24-HOME!$A$9,IF($B24&lt;SMR!$E$9,"",IF($B24&gt;SMR!$D$30+SMR!$E$9,"",B24-HOME!$A$9)))</f>
        <v>20</v>
      </c>
      <c r="D24" s="426" cm="1">
        <f t="array" ref="D24">IF(B24=SMR!$E$9,"",IF(B24&lt;SMR!$E$9,"",IF(B24&gt;SMR!$D$30+SMR!$E$9,"",INDEX(Tb_Fuel[],MATCH(B24,Tb_Fuel[Year],0),HLOOKUP(SMR!$E$8&amp;" - Gas",'Fuel Data'!$BB$2:$BX$3,2,FALSE)+1))))</f>
        <v>2.8250000000000001E-2</v>
      </c>
      <c r="E24" s="426" cm="1">
        <f t="array" ref="E24">IF(B24=SMR!$E$9,"",IF(B24&lt;SMR!$E$9,"",IF(B24&gt;SMR!$D$30+SMR!$E$9,"",INDEX(Tb_Fuel[],MATCH(B24,Tb_Fuel[Year],0),HLOOKUP(SMR!$E$8&amp;" - CO2 price",'Fuel Data'!$BB$2:$BX$3,2,FALSE)+1))))</f>
        <v>148.81204024689271</v>
      </c>
      <c r="F24" s="426" cm="1">
        <f t="array" ref="F24">IF(B24=SMR!$E$9,"",IF(B24&lt;SMR!$E$9,"",IF(B24&gt;SMR!$D$30+SMR!$E$9,"",INDEX(Tb_Fuel[],MATCH(B24,Tb_Fuel[Year],0),HLOOKUP(SMR!$E$8&amp;" - Feed-in electricity price",'Fuel Data'!$BB$2:$BX$3,2,FALSE)+1))))</f>
        <v>0</v>
      </c>
      <c r="G24" s="426">
        <f>IF(B24=SMR!$E$9,SMR!$D$48,IF(B24&lt;SMR!$E$9,"",IF(B24&gt;SMR!$D$30+SMR!$E$9,"",0)))</f>
        <v>0</v>
      </c>
      <c r="H24" s="426">
        <f>IF(B24=SMR!$E$9,0,IF(B24&lt;SMR!$E$9,"",IF(B24&gt;SMR!$D$30+SMR!$E$9,"",SMR!$D$48*SMR!$D$29)))</f>
        <v>42.018446703694792</v>
      </c>
      <c r="I24" s="426">
        <f>IF($B24=SMR!$E$9,0,IF($B24&lt;SMR!$E$9,"",IF($B24&gt;SMR!$D$30+SMR!$E$9,"",IF(ISBLANK(SMR!$C$39),(D24*'General values'!$B$26/'General values'!$C$3)*SMR!$D$32*8760*(SMR!$D$34+SMR!$D$35),(SMR!$D$39*'General values'!$B$26/'General values'!$C$3)*SMR!$D$32*8760*(SMR!$D$34+SMR!$D$35)))))</f>
        <v>376.48338971745915</v>
      </c>
      <c r="J24" s="426">
        <f>IF($B24=SMR!$E$9,0,IF($B24&lt;SMR!$E$9,"",IF($B24&gt;SMR!$D$30+SMR!$E$9,"",SMR!$D$41*SMR!$D$55*SMR!$D$44*SMR!$D$60)))</f>
        <v>66.007234467930715</v>
      </c>
      <c r="K24" s="426">
        <f>IF($B24=SMR!$E$9,0,IF($B24&lt;SMR!$E$9,"",IF($B24&gt;SMR!$D$30+SMR!$E$9,"",IF(ISBLANK(SMR!$C$42),E24*(1-SMR!$D$44)*SMR!$D$55*SMR!$D$60,SMR!$D$42*(1-SMR!$D$44)*SMR!$D$55*SMR!$D$60))))</f>
        <v>36.055761965377478</v>
      </c>
      <c r="L24" s="426">
        <f>IF($B24=SMR!$E$9,0,IF($B24&lt;SMR!$E$9,"",IF($B24&gt;SMR!$D$30+SMR!$E$9,"",IF(ISBLANK(SMR!$C$40),-F24*S24*SMR!$D$37,-SMR!$C$40*S24*SMR!$D$37))))</f>
        <v>0</v>
      </c>
      <c r="M24" s="426">
        <f>IF($B24=SMR!$E$9,SUM(G24:L24),IF($B24&lt;SMR!$E$9,"",IF($B24&gt;SMR!$D$30+SMR!$E$9,"",SUM(G24:L24))))</f>
        <v>520.56483285446211</v>
      </c>
      <c r="N24" s="426">
        <f>IF($B24=SMR!$E$9,I24/(1+SMR!$D$31)^'CFA SMR'!C24,IF($B24&lt;SMR!$E$9,"",IF($B24&gt;SMR!$D$30+SMR!$E$9,"",I24/(1+SMR!$D$31)^'CFA SMR'!C24)))</f>
        <v>115.00930739938796</v>
      </c>
      <c r="O24" s="426">
        <f>IF($B24=SMR!$E$9,J24/(1+SMR!$D$31)^'CFA SMR'!C24,IF($B24&lt;SMR!$E$9,"",IF($B24&gt;SMR!$D$30+SMR!$E$9,"",J24/(1+SMR!$D$31)^'CFA SMR'!C24)))</f>
        <v>20.164093627617675</v>
      </c>
      <c r="P24" s="426">
        <f>IF($B24=SMR!$E$9,K24/(1+SMR!$D$31)^'CFA SMR'!C24,IF($B24&lt;SMR!$E$9,"",IF($B24&gt;SMR!$D$30+SMR!$E$9,"",K24/(1+SMR!$D$31)^'CFA SMR'!C24)))</f>
        <v>11.014425402691163</v>
      </c>
      <c r="Q24" s="426">
        <f>IF($B24=SMR!$E$9,L24/(1+SMR!$D$31)^'CFA SMR'!C24,IF($B24&lt;SMR!$E$9,"",IF($B24&gt;SMR!$D$30+SMR!$E$9,"",L24/(1+SMR!$D$31)^'CFA SMR'!C24)))</f>
        <v>0</v>
      </c>
      <c r="R24" s="426">
        <f>IF($B24=SMR!$E$9,M24/(1+SMR!$D$31)^'CFA SMR'!C24,IF($B24&lt;SMR!$E$9,"",IF($B24&gt;SMR!$D$30+SMR!$E$9,"",M24/(1+SMR!$D$31)^'CFA SMR'!C24)))</f>
        <v>159.02375116203814</v>
      </c>
      <c r="S24" s="429">
        <f>IF($B24=SMR!$E$9,0,IF($B24&lt;SMR!$E$9,"",IF($B24&gt;SMR!$D$30+SMR!$E$9,"",SMR!$D$60)))</f>
        <v>249.68496849684971</v>
      </c>
      <c r="T24" s="430">
        <f>IF($B24=SMR!$E$9,S24/(1+SMR!$D$31)^'CFA SMR'!C24,IF($B24&lt;SMR!$E$9,"",IF($B24&gt;SMR!$D$30+SMR!$E$9,"",S24/(1+SMR!$D$31)^'CFA SMR'!C24)))</f>
        <v>76.274534492508053</v>
      </c>
    </row>
    <row r="25" spans="2:20">
      <c r="B25" s="424">
        <v>2043</v>
      </c>
      <c r="C25" s="431">
        <f>IF($B25=SMR!$E$9,B25-HOME!$A$9,IF($B25&lt;SMR!$E$9,"",IF($B25&gt;SMR!$D$30+SMR!$E$9,"",B25-HOME!$A$9)))</f>
        <v>21</v>
      </c>
      <c r="D25" s="426" cm="1">
        <f t="array" ref="D25">IF(B25=SMR!$E$9,"",IF(B25&lt;SMR!$E$9,"",IF(B25&gt;SMR!$D$30+SMR!$E$9,"",INDEX(Tb_Fuel[],MATCH(B25,Tb_Fuel[Year],0),HLOOKUP(SMR!$E$8&amp;" - Gas",'Fuel Data'!$BB$2:$BX$3,2,FALSE)+1))))</f>
        <v>2.8250000000000001E-2</v>
      </c>
      <c r="E25" s="426" cm="1">
        <f t="array" ref="E25">IF(B25=SMR!$E$9,"",IF(B25&lt;SMR!$E$9,"",IF(B25&gt;SMR!$D$30+SMR!$E$9,"",INDEX(Tb_Fuel[],MATCH(B25,Tb_Fuel[Year],0),HLOOKUP(SMR!$E$8&amp;" - CO2 price",'Fuel Data'!$BB$2:$BX$3,2,FALSE)+1))))</f>
        <v>151.34860911473746</v>
      </c>
      <c r="F25" s="426" cm="1">
        <f t="array" ref="F25">IF(B25=SMR!$E$9,"",IF(B25&lt;SMR!$E$9,"",IF(B25&gt;SMR!$D$30+SMR!$E$9,"",INDEX(Tb_Fuel[],MATCH(B25,Tb_Fuel[Year],0),HLOOKUP(SMR!$E$8&amp;" - Feed-in electricity price",'Fuel Data'!$BB$2:$BX$3,2,FALSE)+1))))</f>
        <v>0</v>
      </c>
      <c r="G25" s="426">
        <f>IF(B25=SMR!$E$9,SMR!$D$48,IF(B25&lt;SMR!$E$9,"",IF(B25&gt;SMR!$D$30+SMR!$E$9,"",0)))</f>
        <v>0</v>
      </c>
      <c r="H25" s="426">
        <f>IF(B25=SMR!$E$9,0,IF(B25&lt;SMR!$E$9,"",IF(B25&gt;SMR!$D$30+SMR!$E$9,"",SMR!$D$48*SMR!$D$29)))</f>
        <v>42.018446703694792</v>
      </c>
      <c r="I25" s="426">
        <f>IF($B25=SMR!$E$9,0,IF($B25&lt;SMR!$E$9,"",IF($B25&gt;SMR!$D$30+SMR!$E$9,"",IF(ISBLANK(SMR!$C$39),(D25*'General values'!$B$26/'General values'!$C$3)*SMR!$D$32*8760*(SMR!$D$34+SMR!$D$35),(SMR!$D$39*'General values'!$B$26/'General values'!$C$3)*SMR!$D$32*8760*(SMR!$D$34+SMR!$D$35)))))</f>
        <v>376.48338971745915</v>
      </c>
      <c r="J25" s="426">
        <f>IF($B25=SMR!$E$9,0,IF($B25&lt;SMR!$E$9,"",IF($B25&gt;SMR!$D$30+SMR!$E$9,"",SMR!$D$41*SMR!$D$55*SMR!$D$44*SMR!$D$60)))</f>
        <v>66.007234467930715</v>
      </c>
      <c r="K25" s="426">
        <f>IF($B25=SMR!$E$9,0,IF($B25&lt;SMR!$E$9,"",IF($B25&gt;SMR!$D$30+SMR!$E$9,"",IF(ISBLANK(SMR!$C$42),E25*(1-SMR!$D$44)*SMR!$D$55*SMR!$D$60,SMR!$D$42*(1-SMR!$D$44)*SMR!$D$55*SMR!$D$60))))</f>
        <v>36.670348817060045</v>
      </c>
      <c r="L25" s="426">
        <f>IF($B25=SMR!$E$9,0,IF($B25&lt;SMR!$E$9,"",IF($B25&gt;SMR!$D$30+SMR!$E$9,"",IF(ISBLANK(SMR!$C$40),-F25*S25*SMR!$D$37,-SMR!$C$40*S25*SMR!$D$37))))</f>
        <v>0</v>
      </c>
      <c r="M25" s="426">
        <f>IF($B25=SMR!$E$9,SUM(G25:L25),IF($B25&lt;SMR!$E$9,"",IF($B25&gt;SMR!$D$30+SMR!$E$9,"",SUM(G25:L25))))</f>
        <v>521.1794197061447</v>
      </c>
      <c r="N25" s="426">
        <f>IF($B25=SMR!$E$9,I25/(1+SMR!$D$31)^'CFA SMR'!C25,IF($B25&lt;SMR!$E$9,"",IF($B25&gt;SMR!$D$30+SMR!$E$9,"",I25/(1+SMR!$D$31)^'CFA SMR'!C25)))</f>
        <v>108.38828546646485</v>
      </c>
      <c r="O25" s="426">
        <f>IF($B25=SMR!$E$9,J25/(1+SMR!$D$31)^'CFA SMR'!C25,IF($B25&lt;SMR!$E$9,"",IF($B25&gt;SMR!$D$30+SMR!$E$9,"",J25/(1+SMR!$D$31)^'CFA SMR'!C25)))</f>
        <v>19.003257959749959</v>
      </c>
      <c r="P25" s="426">
        <f>IF($B25=SMR!$E$9,K25/(1+SMR!$D$31)^'CFA SMR'!C25,IF($B25&lt;SMR!$E$9,"",IF($B25&gt;SMR!$D$30+SMR!$E$9,"",K25/(1+SMR!$D$31)^'CFA SMR'!C25)))</f>
        <v>10.55726851248658</v>
      </c>
      <c r="Q25" s="426">
        <f>IF($B25=SMR!$E$9,L25/(1+SMR!$D$31)^'CFA SMR'!C25,IF($B25&lt;SMR!$E$9,"",IF($B25&gt;SMR!$D$30+SMR!$E$9,"",L25/(1+SMR!$D$31)^'CFA SMR'!C25)))</f>
        <v>0</v>
      </c>
      <c r="R25" s="426">
        <f>IF($B25=SMR!$E$9,M25/(1+SMR!$D$31)^'CFA SMR'!C25,IF($B25&lt;SMR!$E$9,"",IF($B25&gt;SMR!$D$30+SMR!$E$9,"",M25/(1+SMR!$D$31)^'CFA SMR'!C25)))</f>
        <v>150.04577961527113</v>
      </c>
      <c r="S25" s="429">
        <f>IF($B25=SMR!$E$9,0,IF($B25&lt;SMR!$E$9,"",IF($B25&gt;SMR!$D$30+SMR!$E$9,"",SMR!$D$60)))</f>
        <v>249.68496849684971</v>
      </c>
      <c r="T25" s="430">
        <f>IF($B25=SMR!$E$9,S25/(1+SMR!$D$31)^'CFA SMR'!C25,IF($B25&lt;SMR!$E$9,"",IF($B25&gt;SMR!$D$30+SMR!$E$9,"",S25/(1+SMR!$D$31)^'CFA SMR'!C25)))</f>
        <v>71.883451916515725</v>
      </c>
    </row>
    <row r="26" spans="2:20">
      <c r="B26" s="424">
        <v>2044</v>
      </c>
      <c r="C26" s="431">
        <f>IF($B26=SMR!$E$9,B26-HOME!$A$9,IF($B26&lt;SMR!$E$9,"",IF($B26&gt;SMR!$D$30+SMR!$E$9,"",B26-HOME!$A$9)))</f>
        <v>22</v>
      </c>
      <c r="D26" s="426" cm="1">
        <f t="array" ref="D26">IF(B26=SMR!$E$9,"",IF(B26&lt;SMR!$E$9,"",IF(B26&gt;SMR!$D$30+SMR!$E$9,"",INDEX(Tb_Fuel[],MATCH(B26,Tb_Fuel[Year],0),HLOOKUP(SMR!$E$8&amp;" - Gas",'Fuel Data'!$BB$2:$BX$3,2,FALSE)+1))))</f>
        <v>2.8250000000000001E-2</v>
      </c>
      <c r="E26" s="426" cm="1">
        <f t="array" ref="E26">IF(B26=SMR!$E$9,"",IF(B26&lt;SMR!$E$9,"",IF(B26&gt;SMR!$D$30+SMR!$E$9,"",INDEX(Tb_Fuel[],MATCH(B26,Tb_Fuel[Year],0),HLOOKUP(SMR!$E$8&amp;" - CO2 price",'Fuel Data'!$BB$2:$BX$3,2,FALSE)+1))))</f>
        <v>153.88517798258223</v>
      </c>
      <c r="F26" s="426" cm="1">
        <f t="array" ref="F26">IF(B26=SMR!$E$9,"",IF(B26&lt;SMR!$E$9,"",IF(B26&gt;SMR!$D$30+SMR!$E$9,"",INDEX(Tb_Fuel[],MATCH(B26,Tb_Fuel[Year],0),HLOOKUP(SMR!$E$8&amp;" - Feed-in electricity price",'Fuel Data'!$BB$2:$BX$3,2,FALSE)+1))))</f>
        <v>0</v>
      </c>
      <c r="G26" s="426">
        <f>IF(B26=SMR!$E$9,SMR!$D$48,IF(B26&lt;SMR!$E$9,"",IF(B26&gt;SMR!$D$30+SMR!$E$9,"",0)))</f>
        <v>0</v>
      </c>
      <c r="H26" s="426">
        <f>IF(B26=SMR!$E$9,0,IF(B26&lt;SMR!$E$9,"",IF(B26&gt;SMR!$D$30+SMR!$E$9,"",SMR!$D$48*SMR!$D$29)))</f>
        <v>42.018446703694792</v>
      </c>
      <c r="I26" s="426">
        <f>IF($B26=SMR!$E$9,0,IF($B26&lt;SMR!$E$9,"",IF($B26&gt;SMR!$D$30+SMR!$E$9,"",IF(ISBLANK(SMR!$C$39),(D26*'General values'!$B$26/'General values'!$C$3)*SMR!$D$32*8760*(SMR!$D$34+SMR!$D$35),(SMR!$D$39*'General values'!$B$26/'General values'!$C$3)*SMR!$D$32*8760*(SMR!$D$34+SMR!$D$35)))))</f>
        <v>376.48338971745915</v>
      </c>
      <c r="J26" s="426">
        <f>IF($B26=SMR!$E$9,0,IF($B26&lt;SMR!$E$9,"",IF($B26&gt;SMR!$D$30+SMR!$E$9,"",SMR!$D$41*SMR!$D$55*SMR!$D$44*SMR!$D$60)))</f>
        <v>66.007234467930715</v>
      </c>
      <c r="K26" s="426">
        <f>IF($B26=SMR!$E$9,0,IF($B26&lt;SMR!$E$9,"",IF($B26&gt;SMR!$D$30+SMR!$E$9,"",IF(ISBLANK(SMR!$C$42),E26*(1-SMR!$D$44)*SMR!$D$55*SMR!$D$60,SMR!$D$42*(1-SMR!$D$44)*SMR!$D$55*SMR!$D$60))))</f>
        <v>37.284935668742619</v>
      </c>
      <c r="L26" s="426">
        <f>IF($B26=SMR!$E$9,0,IF($B26&lt;SMR!$E$9,"",IF($B26&gt;SMR!$D$30+SMR!$E$9,"",IF(ISBLANK(SMR!$C$40),-F26*S26*SMR!$D$37,-SMR!$C$40*S26*SMR!$D$37))))</f>
        <v>0</v>
      </c>
      <c r="M26" s="426">
        <f>IF($B26=SMR!$E$9,SUM(G26:L26),IF($B26&lt;SMR!$E$9,"",IF($B26&gt;SMR!$D$30+SMR!$E$9,"",SUM(G26:L26))))</f>
        <v>521.79400655782729</v>
      </c>
      <c r="N26" s="426">
        <f>IF($B26=SMR!$E$9,I26/(1+SMR!$D$31)^'CFA SMR'!C26,IF($B26&lt;SMR!$E$9,"",IF($B26&gt;SMR!$D$30+SMR!$E$9,"",I26/(1+SMR!$D$31)^'CFA SMR'!C26)))</f>
        <v>102.1484320878746</v>
      </c>
      <c r="O26" s="426">
        <f>IF($B26=SMR!$E$9,J26/(1+SMR!$D$31)^'CFA SMR'!C26,IF($B26&lt;SMR!$E$9,"",IF($B26&gt;SMR!$D$30+SMR!$E$9,"",J26/(1+SMR!$D$31)^'CFA SMR'!C26)))</f>
        <v>17.909250956372688</v>
      </c>
      <c r="P26" s="426">
        <f>IF($B26=SMR!$E$9,K26/(1+SMR!$D$31)^'CFA SMR'!C26,IF($B26&lt;SMR!$E$9,"",IF($B26&gt;SMR!$D$30+SMR!$E$9,"",K26/(1+SMR!$D$31)^'CFA SMR'!C26)))</f>
        <v>10.116243699137911</v>
      </c>
      <c r="Q26" s="426">
        <f>IF($B26=SMR!$E$9,L26/(1+SMR!$D$31)^'CFA SMR'!C26,IF($B26&lt;SMR!$E$9,"",IF($B26&gt;SMR!$D$30+SMR!$E$9,"",L26/(1+SMR!$D$31)^'CFA SMR'!C26)))</f>
        <v>0</v>
      </c>
      <c r="R26" s="426">
        <f>IF($B26=SMR!$E$9,M26/(1+SMR!$D$31)^'CFA SMR'!C26,IF($B26&lt;SMR!$E$9,"",IF($B26&gt;SMR!$D$30+SMR!$E$9,"",M26/(1+SMR!$D$31)^'CFA SMR'!C26)))</f>
        <v>141.57447871135241</v>
      </c>
      <c r="S26" s="429">
        <f>IF($B26=SMR!$E$9,0,IF($B26&lt;SMR!$E$9,"",IF($B26&gt;SMR!$D$30+SMR!$E$9,"",SMR!$D$60)))</f>
        <v>249.68496849684971</v>
      </c>
      <c r="T26" s="430">
        <f>IF($B26=SMR!$E$9,S26/(1+SMR!$D$31)^'CFA SMR'!C26,IF($B26&lt;SMR!$E$9,"",IF($B26&gt;SMR!$D$30+SMR!$E$9,"",S26/(1+SMR!$D$31)^'CFA SMR'!C26)))</f>
        <v>67.745161524932982</v>
      </c>
    </row>
    <row r="27" spans="2:20">
      <c r="B27" s="424">
        <v>2045</v>
      </c>
      <c r="C27" s="431">
        <f>IF($B27=SMR!$E$9,B27-HOME!$A$9,IF($B27&lt;SMR!$E$9,"",IF($B27&gt;SMR!$D$30+SMR!$E$9,"",B27-HOME!$A$9)))</f>
        <v>23</v>
      </c>
      <c r="D27" s="426" cm="1">
        <f t="array" ref="D27">IF(B27=SMR!$E$9,"",IF(B27&lt;SMR!$E$9,"",IF(B27&gt;SMR!$D$30+SMR!$E$9,"",INDEX(Tb_Fuel[],MATCH(B27,Tb_Fuel[Year],0),HLOOKUP(SMR!$E$8&amp;" - Gas",'Fuel Data'!$BB$2:$BX$3,2,FALSE)+1))))</f>
        <v>2.8250000000000001E-2</v>
      </c>
      <c r="E27" s="426" cm="1">
        <f t="array" ref="E27">IF(B27=SMR!$E$9,"",IF(B27&lt;SMR!$E$9,"",IF(B27&gt;SMR!$D$30+SMR!$E$9,"",INDEX(Tb_Fuel[],MATCH(B27,Tb_Fuel[Year],0),HLOOKUP(SMR!$E$8&amp;" - CO2 price",'Fuel Data'!$BB$2:$BX$3,2,FALSE)+1))))</f>
        <v>156.42174685042698</v>
      </c>
      <c r="F27" s="426" cm="1">
        <f t="array" ref="F27">IF(B27=SMR!$E$9,"",IF(B27&lt;SMR!$E$9,"",IF(B27&gt;SMR!$D$30+SMR!$E$9,"",INDEX(Tb_Fuel[],MATCH(B27,Tb_Fuel[Year],0),HLOOKUP(SMR!$E$8&amp;" - Feed-in electricity price",'Fuel Data'!$BB$2:$BX$3,2,FALSE)+1))))</f>
        <v>0</v>
      </c>
      <c r="G27" s="426">
        <f>IF(B27=SMR!$E$9,SMR!$D$48,IF(B27&lt;SMR!$E$9,"",IF(B27&gt;SMR!$D$30+SMR!$E$9,"",0)))</f>
        <v>0</v>
      </c>
      <c r="H27" s="426">
        <f>IF(B27=SMR!$E$9,0,IF(B27&lt;SMR!$E$9,"",IF(B27&gt;SMR!$D$30+SMR!$E$9,"",SMR!$D$48*SMR!$D$29)))</f>
        <v>42.018446703694792</v>
      </c>
      <c r="I27" s="426">
        <f>IF($B27=SMR!$E$9,0,IF($B27&lt;SMR!$E$9,"",IF($B27&gt;SMR!$D$30+SMR!$E$9,"",IF(ISBLANK(SMR!$C$39),(D27*'General values'!$B$26/'General values'!$C$3)*SMR!$D$32*8760*(SMR!$D$34+SMR!$D$35),(SMR!$D$39*'General values'!$B$26/'General values'!$C$3)*SMR!$D$32*8760*(SMR!$D$34+SMR!$D$35)))))</f>
        <v>376.48338971745915</v>
      </c>
      <c r="J27" s="426">
        <f>IF($B27=SMR!$E$9,0,IF($B27&lt;SMR!$E$9,"",IF($B27&gt;SMR!$D$30+SMR!$E$9,"",SMR!$D$41*SMR!$D$55*SMR!$D$44*SMR!$D$60)))</f>
        <v>66.007234467930715</v>
      </c>
      <c r="K27" s="426">
        <f>IF($B27=SMR!$E$9,0,IF($B27&lt;SMR!$E$9,"",IF($B27&gt;SMR!$D$30+SMR!$E$9,"",IF(ISBLANK(SMR!$C$42),E27*(1-SMR!$D$44)*SMR!$D$55*SMR!$D$60,SMR!$D$42*(1-SMR!$D$44)*SMR!$D$55*SMR!$D$60))))</f>
        <v>37.899522520425187</v>
      </c>
      <c r="L27" s="426">
        <f>IF($B27=SMR!$E$9,0,IF($B27&lt;SMR!$E$9,"",IF($B27&gt;SMR!$D$30+SMR!$E$9,"",IF(ISBLANK(SMR!$C$40),-F27*S27*SMR!$D$37,-SMR!$C$40*S27*SMR!$D$37))))</f>
        <v>0</v>
      </c>
      <c r="M27" s="426">
        <f>IF($B27=SMR!$E$9,SUM(G27:L27),IF($B27&lt;SMR!$E$9,"",IF($B27&gt;SMR!$D$30+SMR!$E$9,"",SUM(G27:L27))))</f>
        <v>522.40859340950988</v>
      </c>
      <c r="N27" s="426">
        <f>IF($B27=SMR!$E$9,I27/(1+SMR!$D$31)^'CFA SMR'!C27,IF($B27&lt;SMR!$E$9,"",IF($B27&gt;SMR!$D$30+SMR!$E$9,"",I27/(1+SMR!$D$31)^'CFA SMR'!C27)))</f>
        <v>96.2678036017046</v>
      </c>
      <c r="O27" s="426">
        <f>IF($B27=SMR!$E$9,J27/(1+SMR!$D$31)^'CFA SMR'!C27,IF($B27&lt;SMR!$E$9,"",IF($B27&gt;SMR!$D$30+SMR!$E$9,"",J27/(1+SMR!$D$31)^'CFA SMR'!C27)))</f>
        <v>16.878225328398177</v>
      </c>
      <c r="P27" s="426">
        <f>IF($B27=SMR!$E$9,K27/(1+SMR!$D$31)^'CFA SMR'!C27,IF($B27&lt;SMR!$E$9,"",IF($B27&gt;SMR!$D$30+SMR!$E$9,"",K27/(1+SMR!$D$31)^'CFA SMR'!C27)))</f>
        <v>9.6910086613191044</v>
      </c>
      <c r="Q27" s="426">
        <f>IF($B27=SMR!$E$9,L27/(1+SMR!$D$31)^'CFA SMR'!C27,IF($B27&lt;SMR!$E$9,"",IF($B27&gt;SMR!$D$30+SMR!$E$9,"",L27/(1+SMR!$D$31)^'CFA SMR'!C27)))</f>
        <v>0</v>
      </c>
      <c r="R27" s="426">
        <f>IF($B27=SMR!$E$9,M27/(1+SMR!$D$31)^'CFA SMR'!C27,IF($B27&lt;SMR!$E$9,"",IF($B27&gt;SMR!$D$30+SMR!$E$9,"",M27/(1+SMR!$D$31)^'CFA SMR'!C27)))</f>
        <v>133.58126611623319</v>
      </c>
      <c r="S27" s="429">
        <f>IF($B27=SMR!$E$9,0,IF($B27&lt;SMR!$E$9,"",IF($B27&gt;SMR!$D$30+SMR!$E$9,"",SMR!$D$60)))</f>
        <v>249.68496849684971</v>
      </c>
      <c r="T27" s="430">
        <f>IF($B27=SMR!$E$9,S27/(1+SMR!$D$31)^'CFA SMR'!C27,IF($B27&lt;SMR!$E$9,"",IF($B27&gt;SMR!$D$30+SMR!$E$9,"",S27/(1+SMR!$D$31)^'CFA SMR'!C27)))</f>
        <v>63.845110212143432</v>
      </c>
    </row>
    <row r="28" spans="2:20">
      <c r="B28" s="424">
        <v>2046</v>
      </c>
      <c r="C28" s="431">
        <f>IF($B28=SMR!$E$9,B28-HOME!$A$9,IF($B28&lt;SMR!$E$9,"",IF($B28&gt;SMR!$D$30+SMR!$E$9,"",B28-HOME!$A$9)))</f>
        <v>24</v>
      </c>
      <c r="D28" s="426" cm="1">
        <f t="array" ref="D28">IF(B28=SMR!$E$9,"",IF(B28&lt;SMR!$E$9,"",IF(B28&gt;SMR!$D$30+SMR!$E$9,"",INDEX(Tb_Fuel[],MATCH(B28,Tb_Fuel[Year],0),HLOOKUP(SMR!$E$8&amp;" - Gas",'Fuel Data'!$BB$2:$BX$3,2,FALSE)+1))))</f>
        <v>2.8250000000000001E-2</v>
      </c>
      <c r="E28" s="426" cm="1">
        <f t="array" ref="E28">IF(B28=SMR!$E$9,"",IF(B28&lt;SMR!$E$9,"",IF(B28&gt;SMR!$D$30+SMR!$E$9,"",INDEX(Tb_Fuel[],MATCH(B28,Tb_Fuel[Year],0),HLOOKUP(SMR!$E$8&amp;" - CO2 price",'Fuel Data'!$BB$2:$BX$3,2,FALSE)+1))))</f>
        <v>158.95831571827173</v>
      </c>
      <c r="F28" s="426" cm="1">
        <f t="array" ref="F28">IF(B28=SMR!$E$9,"",IF(B28&lt;SMR!$E$9,"",IF(B28&gt;SMR!$D$30+SMR!$E$9,"",INDEX(Tb_Fuel[],MATCH(B28,Tb_Fuel[Year],0),HLOOKUP(SMR!$E$8&amp;" - Feed-in electricity price",'Fuel Data'!$BB$2:$BX$3,2,FALSE)+1))))</f>
        <v>0</v>
      </c>
      <c r="G28" s="426">
        <f>IF(B28=SMR!$E$9,SMR!$D$48,IF(B28&lt;SMR!$E$9,"",IF(B28&gt;SMR!$D$30+SMR!$E$9,"",0)))</f>
        <v>0</v>
      </c>
      <c r="H28" s="426">
        <f>IF(B28=SMR!$E$9,0,IF(B28&lt;SMR!$E$9,"",IF(B28&gt;SMR!$D$30+SMR!$E$9,"",SMR!$D$48*SMR!$D$29)))</f>
        <v>42.018446703694792</v>
      </c>
      <c r="I28" s="426">
        <f>IF($B28=SMR!$E$9,0,IF($B28&lt;SMR!$E$9,"",IF($B28&gt;SMR!$D$30+SMR!$E$9,"",IF(ISBLANK(SMR!$C$39),(D28*'General values'!$B$26/'General values'!$C$3)*SMR!$D$32*8760*(SMR!$D$34+SMR!$D$35),(SMR!$D$39*'General values'!$B$26/'General values'!$C$3)*SMR!$D$32*8760*(SMR!$D$34+SMR!$D$35)))))</f>
        <v>376.48338971745915</v>
      </c>
      <c r="J28" s="426">
        <f>IF($B28=SMR!$E$9,0,IF($B28&lt;SMR!$E$9,"",IF($B28&gt;SMR!$D$30+SMR!$E$9,"",SMR!$D$41*SMR!$D$55*SMR!$D$44*SMR!$D$60)))</f>
        <v>66.007234467930715</v>
      </c>
      <c r="K28" s="426">
        <f>IF($B28=SMR!$E$9,0,IF($B28&lt;SMR!$E$9,"",IF($B28&gt;SMR!$D$30+SMR!$E$9,"",IF(ISBLANK(SMR!$C$42),E28*(1-SMR!$D$44)*SMR!$D$55*SMR!$D$60,SMR!$D$42*(1-SMR!$D$44)*SMR!$D$55*SMR!$D$60))))</f>
        <v>38.514109372107754</v>
      </c>
      <c r="L28" s="426">
        <f>IF($B28=SMR!$E$9,0,IF($B28&lt;SMR!$E$9,"",IF($B28&gt;SMR!$D$30+SMR!$E$9,"",IF(ISBLANK(SMR!$C$40),-F28*S28*SMR!$D$37,-SMR!$C$40*S28*SMR!$D$37))))</f>
        <v>0</v>
      </c>
      <c r="M28" s="426">
        <f>IF($B28=SMR!$E$9,SUM(G28:L28),IF($B28&lt;SMR!$E$9,"",IF($B28&gt;SMR!$D$30+SMR!$E$9,"",SUM(G28:L28))))</f>
        <v>523.02318026119246</v>
      </c>
      <c r="N28" s="426">
        <f>IF($B28=SMR!$E$9,I28/(1+SMR!$D$31)^'CFA SMR'!C28,IF($B28&lt;SMR!$E$9,"",IF($B28&gt;SMR!$D$30+SMR!$E$9,"",I28/(1+SMR!$D$31)^'CFA SMR'!C28)))</f>
        <v>90.725719630467552</v>
      </c>
      <c r="O28" s="426">
        <f>IF($B28=SMR!$E$9,J28/(1+SMR!$D$31)^'CFA SMR'!C28,IF($B28&lt;SMR!$E$9,"",IF($B28&gt;SMR!$D$30+SMR!$E$9,"",J28/(1+SMR!$D$31)^'CFA SMR'!C28)))</f>
        <v>15.906555273034138</v>
      </c>
      <c r="P28" s="426">
        <f>IF($B28=SMR!$E$9,K28/(1+SMR!$D$31)^'CFA SMR'!C28,IF($B28&lt;SMR!$E$9,"",IF($B28&gt;SMR!$D$30+SMR!$E$9,"",K28/(1+SMR!$D$31)^'CFA SMR'!C28)))</f>
        <v>9.2812070443089958</v>
      </c>
      <c r="Q28" s="426">
        <f>IF($B28=SMR!$E$9,L28/(1+SMR!$D$31)^'CFA SMR'!C28,IF($B28&lt;SMR!$E$9,"",IF($B28&gt;SMR!$D$30+SMR!$E$9,"",L28/(1+SMR!$D$31)^'CFA SMR'!C28)))</f>
        <v>0</v>
      </c>
      <c r="R28" s="426">
        <f>IF($B28=SMR!$E$9,M28/(1+SMR!$D$31)^'CFA SMR'!C28,IF($B28&lt;SMR!$E$9,"",IF($B28&gt;SMR!$D$30+SMR!$E$9,"",M28/(1+SMR!$D$31)^'CFA SMR'!C28)))</f>
        <v>126.03917120546448</v>
      </c>
      <c r="S28" s="429">
        <f>IF($B28=SMR!$E$9,0,IF($B28&lt;SMR!$E$9,"",IF($B28&gt;SMR!$D$30+SMR!$E$9,"",SMR!$D$60)))</f>
        <v>249.68496849684971</v>
      </c>
      <c r="T28" s="430">
        <f>IF($B28=SMR!$E$9,S28/(1+SMR!$D$31)^'CFA SMR'!C28,IF($B28&lt;SMR!$E$9,"",IF($B28&gt;SMR!$D$30+SMR!$E$9,"",S28/(1+SMR!$D$31)^'CFA SMR'!C28)))</f>
        <v>60.169582686735993</v>
      </c>
    </row>
    <row r="29" spans="2:20">
      <c r="B29" s="424">
        <v>2047</v>
      </c>
      <c r="C29" s="431">
        <f>IF($B29=SMR!$E$9,B29-HOME!$A$9,IF($B29&lt;SMR!$E$9,"",IF($B29&gt;SMR!$D$30+SMR!$E$9,"",B29-HOME!$A$9)))</f>
        <v>25</v>
      </c>
      <c r="D29" s="426" cm="1">
        <f t="array" ref="D29">IF(B29=SMR!$E$9,"",IF(B29&lt;SMR!$E$9,"",IF(B29&gt;SMR!$D$30+SMR!$E$9,"",INDEX(Tb_Fuel[],MATCH(B29,Tb_Fuel[Year],0),HLOOKUP(SMR!$E$8&amp;" - Gas",'Fuel Data'!$BB$2:$BX$3,2,FALSE)+1))))</f>
        <v>2.8250000000000001E-2</v>
      </c>
      <c r="E29" s="426" cm="1">
        <f t="array" ref="E29">IF(B29=SMR!$E$9,"",IF(B29&lt;SMR!$E$9,"",IF(B29&gt;SMR!$D$30+SMR!$E$9,"",INDEX(Tb_Fuel[],MATCH(B29,Tb_Fuel[Year],0),HLOOKUP(SMR!$E$8&amp;" - CO2 price",'Fuel Data'!$BB$2:$BX$3,2,FALSE)+1))))</f>
        <v>161.49488458611651</v>
      </c>
      <c r="F29" s="426" cm="1">
        <f t="array" ref="F29">IF(B29=SMR!$E$9,"",IF(B29&lt;SMR!$E$9,"",IF(B29&gt;SMR!$D$30+SMR!$E$9,"",INDEX(Tb_Fuel[],MATCH(B29,Tb_Fuel[Year],0),HLOOKUP(SMR!$E$8&amp;" - Feed-in electricity price",'Fuel Data'!$BB$2:$BX$3,2,FALSE)+1))))</f>
        <v>0</v>
      </c>
      <c r="G29" s="426">
        <f>IF(B29=SMR!$E$9,SMR!$D$48,IF(B29&lt;SMR!$E$9,"",IF(B29&gt;SMR!$D$30+SMR!$E$9,"",0)))</f>
        <v>0</v>
      </c>
      <c r="H29" s="426">
        <f>IF(B29=SMR!$E$9,0,IF(B29&lt;SMR!$E$9,"",IF(B29&gt;SMR!$D$30+SMR!$E$9,"",SMR!$D$48*SMR!$D$29)))</f>
        <v>42.018446703694792</v>
      </c>
      <c r="I29" s="426">
        <f>IF($B29=SMR!$E$9,0,IF($B29&lt;SMR!$E$9,"",IF($B29&gt;SMR!$D$30+SMR!$E$9,"",IF(ISBLANK(SMR!$C$39),(D29*'General values'!$B$26/'General values'!$C$3)*SMR!$D$32*8760*(SMR!$D$34+SMR!$D$35),(SMR!$D$39*'General values'!$B$26/'General values'!$C$3)*SMR!$D$32*8760*(SMR!$D$34+SMR!$D$35)))))</f>
        <v>376.48338971745915</v>
      </c>
      <c r="J29" s="426">
        <f>IF($B29=SMR!$E$9,0,IF($B29&lt;SMR!$E$9,"",IF($B29&gt;SMR!$D$30+SMR!$E$9,"",SMR!$D$41*SMR!$D$55*SMR!$D$44*SMR!$D$60)))</f>
        <v>66.007234467930715</v>
      </c>
      <c r="K29" s="426">
        <f>IF($B29=SMR!$E$9,0,IF($B29&lt;SMR!$E$9,"",IF($B29&gt;SMR!$D$30+SMR!$E$9,"",IF(ISBLANK(SMR!$C$42),E29*(1-SMR!$D$44)*SMR!$D$55*SMR!$D$60,SMR!$D$42*(1-SMR!$D$44)*SMR!$D$55*SMR!$D$60))))</f>
        <v>39.128696223790328</v>
      </c>
      <c r="L29" s="426">
        <f>IF($B29=SMR!$E$9,0,IF($B29&lt;SMR!$E$9,"",IF($B29&gt;SMR!$D$30+SMR!$E$9,"",IF(ISBLANK(SMR!$C$40),-F29*S29*SMR!$D$37,-SMR!$C$40*S29*SMR!$D$37))))</f>
        <v>0</v>
      </c>
      <c r="M29" s="426">
        <f>IF($B29=SMR!$E$9,SUM(G29:L29),IF($B29&lt;SMR!$E$9,"",IF($B29&gt;SMR!$D$30+SMR!$E$9,"",SUM(G29:L29))))</f>
        <v>523.63776711287505</v>
      </c>
      <c r="N29" s="426">
        <f>IF($B29=SMR!$E$9,I29/(1+SMR!$D$31)^'CFA SMR'!C29,IF($B29&lt;SMR!$E$9,"",IF($B29&gt;SMR!$D$30+SMR!$E$9,"",I29/(1+SMR!$D$31)^'CFA SMR'!C29)))</f>
        <v>85.502690354519117</v>
      </c>
      <c r="O29" s="426">
        <f>IF($B29=SMR!$E$9,J29/(1+SMR!$D$31)^'CFA SMR'!C29,IF($B29&lt;SMR!$E$9,"",IF($B29&gt;SMR!$D$30+SMR!$E$9,"",J29/(1+SMR!$D$31)^'CFA SMR'!C29)))</f>
        <v>14.990823722940714</v>
      </c>
      <c r="P29" s="426">
        <f>IF($B29=SMR!$E$9,K29/(1+SMR!$D$31)^'CFA SMR'!C29,IF($B29&lt;SMR!$E$9,"",IF($B29&gt;SMR!$D$30+SMR!$E$9,"",K29/(1+SMR!$D$31)^'CFA SMR'!C29)))</f>
        <v>8.8864711925526834</v>
      </c>
      <c r="Q29" s="426">
        <f>IF($B29=SMR!$E$9,L29/(1+SMR!$D$31)^'CFA SMR'!C29,IF($B29&lt;SMR!$E$9,"",IF($B29&gt;SMR!$D$30+SMR!$E$9,"",L29/(1+SMR!$D$31)^'CFA SMR'!C29)))</f>
        <v>0</v>
      </c>
      <c r="R29" s="426">
        <f>IF($B29=SMR!$E$9,M29/(1+SMR!$D$31)^'CFA SMR'!C29,IF($B29&lt;SMR!$E$9,"",IF($B29&gt;SMR!$D$30+SMR!$E$9,"",M29/(1+SMR!$D$31)^'CFA SMR'!C29)))</f>
        <v>118.9227442224861</v>
      </c>
      <c r="S29" s="429">
        <f>IF($B29=SMR!$E$9,0,IF($B29&lt;SMR!$E$9,"",IF($B29&gt;SMR!$D$30+SMR!$E$9,"",SMR!$D$60)))</f>
        <v>249.68496849684971</v>
      </c>
      <c r="T29" s="430">
        <f>IF($B29=SMR!$E$9,S29/(1+SMR!$D$31)^'CFA SMR'!C29,IF($B29&lt;SMR!$E$9,"",IF($B29&gt;SMR!$D$30+SMR!$E$9,"",S29/(1+SMR!$D$31)^'CFA SMR'!C29)))</f>
        <v>56.705653239006544</v>
      </c>
    </row>
    <row r="30" spans="2:20">
      <c r="B30" s="424">
        <v>2048</v>
      </c>
      <c r="C30" s="431" t="str">
        <f>IF($B30=SMR!$E$9,B30-HOME!$A$9,IF($B30&lt;SMR!$E$9,"",IF($B30&gt;SMR!$D$30+SMR!$E$9,"",B30-HOME!$A$9)))</f>
        <v/>
      </c>
      <c r="D30" s="426" t="str" cm="1">
        <f t="array" ref="D30">IF(B30=SMR!$E$9,"",IF(B30&lt;SMR!$E$9,"",IF(B30&gt;SMR!$D$30+SMR!$E$9,"",INDEX(Tb_Fuel[],MATCH(B30,Tb_Fuel[Year],0),HLOOKUP(SMR!$E$8&amp;" - Gas",'Fuel Data'!$BB$2:$BX$3,2,FALSE)+1))))</f>
        <v/>
      </c>
      <c r="E30" s="426" t="str" cm="1">
        <f t="array" ref="E30">IF(B30=SMR!$E$9,"",IF(B30&lt;SMR!$E$9,"",IF(B30&gt;SMR!$D$30+SMR!$E$9,"",INDEX(Tb_Fuel[],MATCH(B30,Tb_Fuel[Year],0),HLOOKUP(SMR!$E$8&amp;" - CO2 price",'Fuel Data'!$BB$2:$BX$3,2,FALSE)+1))))</f>
        <v/>
      </c>
      <c r="F30" s="426" t="str" cm="1">
        <f t="array" ref="F30">IF(B30=SMR!$E$9,"",IF(B30&lt;SMR!$E$9,"",IF(B30&gt;SMR!$D$30+SMR!$E$9,"",INDEX(Tb_Fuel[],MATCH(B30,Tb_Fuel[Year],0),HLOOKUP(SMR!$E$8&amp;" - Feed-in electricity price",'Fuel Data'!$BB$2:$BX$3,2,FALSE)+1))))</f>
        <v/>
      </c>
      <c r="G30" s="426" t="str">
        <f>IF(B30=SMR!$E$9,SMR!$D$48,IF(B30&lt;SMR!$E$9,"",IF(B30&gt;SMR!$D$30+SMR!$E$9,"",0)))</f>
        <v/>
      </c>
      <c r="H30" s="426" t="str">
        <f>IF(B30=SMR!$E$9,0,IF(B30&lt;SMR!$E$9,"",IF(B30&gt;SMR!$D$30+SMR!$E$9,"",SMR!$D$48*SMR!$D$29)))</f>
        <v/>
      </c>
      <c r="I30" s="426" t="str">
        <f>IF($B30=SMR!$E$9,0,IF($B30&lt;SMR!$E$9,"",IF($B30&gt;SMR!$D$30+SMR!$E$9,"",IF(ISBLANK(SMR!$C$39),(D30*'General values'!$B$26/'General values'!$C$3)*SMR!$D$32*8760*(SMR!$D$34+SMR!$D$35),(SMR!$D$39*'General values'!$B$26/'General values'!$C$3)*SMR!$D$32*8760*(SMR!$D$34+SMR!$D$35)))))</f>
        <v/>
      </c>
      <c r="J30" s="426" t="str">
        <f>IF($B30=SMR!$E$9,0,IF($B30&lt;SMR!$E$9,"",IF($B30&gt;SMR!$D$30+SMR!$E$9,"",SMR!$D$41*SMR!$D$55*SMR!$D$44*SMR!$D$60)))</f>
        <v/>
      </c>
      <c r="K30" s="426" t="str">
        <f>IF($B30=SMR!$E$9,0,IF($B30&lt;SMR!$E$9,"",IF($B30&gt;SMR!$D$30+SMR!$E$9,"",IF(ISBLANK(SMR!$C$42),E30*(1-SMR!$D$44)*SMR!$D$55*SMR!$D$60,SMR!$D$42*(1-SMR!$D$44)*SMR!$D$55*SMR!$D$60))))</f>
        <v/>
      </c>
      <c r="L30" s="426" t="str">
        <f>IF($B30=SMR!$E$9,0,IF($B30&lt;SMR!$E$9,"",IF($B30&gt;SMR!$D$30+SMR!$E$9,"",IF(ISBLANK(SMR!$C$40),-F30*S30*SMR!$D$37,-SMR!$C$40*S30*SMR!$D$37))))</f>
        <v/>
      </c>
      <c r="M30" s="426" t="str">
        <f>IF($B30=SMR!$E$9,SUM(G30:L30),IF($B30&lt;SMR!$E$9,"",IF($B30&gt;SMR!$D$30+SMR!$E$9,"",SUM(G30:L30))))</f>
        <v/>
      </c>
      <c r="N30" s="426" t="str">
        <f>IF($B30=SMR!$E$9,I30/(1+SMR!$D$31)^'CFA SMR'!C30,IF($B30&lt;SMR!$E$9,"",IF($B30&gt;SMR!$D$30+SMR!$E$9,"",I30/(1+SMR!$D$31)^'CFA SMR'!C30)))</f>
        <v/>
      </c>
      <c r="O30" s="426" t="str">
        <f>IF($B30=SMR!$E$9,J30/(1+SMR!$D$31)^'CFA SMR'!C30,IF($B30&lt;SMR!$E$9,"",IF($B30&gt;SMR!$D$30+SMR!$E$9,"",J30/(1+SMR!$D$31)^'CFA SMR'!C30)))</f>
        <v/>
      </c>
      <c r="P30" s="426" t="str">
        <f>IF($B30=SMR!$E$9,K30/(1+SMR!$D$31)^'CFA SMR'!C30,IF($B30&lt;SMR!$E$9,"",IF($B30&gt;SMR!$D$30+SMR!$E$9,"",K30/(1+SMR!$D$31)^'CFA SMR'!C30)))</f>
        <v/>
      </c>
      <c r="Q30" s="426" t="str">
        <f>IF($B30=SMR!$E$9,L30/(1+SMR!$D$31)^'CFA SMR'!C30,IF($B30&lt;SMR!$E$9,"",IF($B30&gt;SMR!$D$30+SMR!$E$9,"",L30/(1+SMR!$D$31)^'CFA SMR'!C30)))</f>
        <v/>
      </c>
      <c r="R30" s="426" t="str">
        <f>IF($B30=SMR!$E$9,M30/(1+SMR!$D$31)^'CFA SMR'!C30,IF($B30&lt;SMR!$E$9,"",IF($B30&gt;SMR!$D$30+SMR!$E$9,"",M30/(1+SMR!$D$31)^'CFA SMR'!C30)))</f>
        <v/>
      </c>
      <c r="S30" s="429" t="str">
        <f>IF($B30=SMR!$E$9,0,IF($B30&lt;SMR!$E$9,"",IF($B30&gt;SMR!$D$30+SMR!$E$9,"",SMR!$D$60)))</f>
        <v/>
      </c>
      <c r="T30" s="430" t="str">
        <f>IF($B30=SMR!$E$9,S30/(1+SMR!$D$31)^'CFA SMR'!C30,IF($B30&lt;SMR!$E$9,"",IF($B30&gt;SMR!$D$30+SMR!$E$9,"",S30/(1+SMR!$D$31)^'CFA SMR'!C30)))</f>
        <v/>
      </c>
    </row>
    <row r="31" spans="2:20">
      <c r="B31" s="424">
        <v>2049</v>
      </c>
      <c r="C31" s="431" t="str">
        <f>IF($B31=SMR!$E$9,B31-HOME!$A$9,IF($B31&lt;SMR!$E$9,"",IF($B31&gt;SMR!$D$30+SMR!$E$9,"",B31-HOME!$A$9)))</f>
        <v/>
      </c>
      <c r="D31" s="426" t="str" cm="1">
        <f t="array" ref="D31">IF(B31=SMR!$E$9,"",IF(B31&lt;SMR!$E$9,"",IF(B31&gt;SMR!$D$30+SMR!$E$9,"",INDEX(Tb_Fuel[],MATCH(B31,Tb_Fuel[Year],0),HLOOKUP(SMR!$E$8&amp;" - Gas",'Fuel Data'!$BB$2:$BX$3,2,FALSE)+1))))</f>
        <v/>
      </c>
      <c r="E31" s="426" t="str" cm="1">
        <f t="array" ref="E31">IF(B31=SMR!$E$9,"",IF(B31&lt;SMR!$E$9,"",IF(B31&gt;SMR!$D$30+SMR!$E$9,"",INDEX(Tb_Fuel[],MATCH(B31,Tb_Fuel[Year],0),HLOOKUP(SMR!$E$8&amp;" - CO2 price",'Fuel Data'!$BB$2:$BX$3,2,FALSE)+1))))</f>
        <v/>
      </c>
      <c r="F31" s="426" t="str" cm="1">
        <f t="array" ref="F31">IF(B31=SMR!$E$9,"",IF(B31&lt;SMR!$E$9,"",IF(B31&gt;SMR!$D$30+SMR!$E$9,"",INDEX(Tb_Fuel[],MATCH(B31,Tb_Fuel[Year],0),HLOOKUP(SMR!$E$8&amp;" - Feed-in electricity price",'Fuel Data'!$BB$2:$BX$3,2,FALSE)+1))))</f>
        <v/>
      </c>
      <c r="G31" s="426" t="str">
        <f>IF(B31=SMR!$E$9,SMR!$D$48,IF(B31&lt;SMR!$E$9,"",IF(B31&gt;SMR!$D$30+SMR!$E$9,"",0)))</f>
        <v/>
      </c>
      <c r="H31" s="426" t="str">
        <f>IF(B31=SMR!$E$9,0,IF(B31&lt;SMR!$E$9,"",IF(B31&gt;SMR!$D$30+SMR!$E$9,"",SMR!$D$48*SMR!$D$29)))</f>
        <v/>
      </c>
      <c r="I31" s="426" t="str">
        <f>IF($B31=SMR!$E$9,0,IF($B31&lt;SMR!$E$9,"",IF($B31&gt;SMR!$D$30+SMR!$E$9,"",IF(ISBLANK(SMR!$C$39),(D31*'General values'!$B$26/'General values'!$C$3)*SMR!$D$32*8760*(SMR!$D$34+SMR!$D$35),(SMR!$D$39*'General values'!$B$26/'General values'!$C$3)*SMR!$D$32*8760*(SMR!$D$34+SMR!$D$35)))))</f>
        <v/>
      </c>
      <c r="J31" s="426" t="str">
        <f>IF($B31=SMR!$E$9,0,IF($B31&lt;SMR!$E$9,"",IF($B31&gt;SMR!$D$30+SMR!$E$9,"",SMR!$D$41*SMR!$D$55*SMR!$D$44*SMR!$D$60)))</f>
        <v/>
      </c>
      <c r="K31" s="426" t="str">
        <f>IF($B31=SMR!$E$9,0,IF($B31&lt;SMR!$E$9,"",IF($B31&gt;SMR!$D$30+SMR!$E$9,"",IF(ISBLANK(SMR!$C$42),E31*(1-SMR!$D$44)*SMR!$D$55*SMR!$D$60,SMR!$D$42*(1-SMR!$D$44)*SMR!$D$55*SMR!$D$60))))</f>
        <v/>
      </c>
      <c r="L31" s="426" t="str">
        <f>IF($B31=SMR!$E$9,0,IF($B31&lt;SMR!$E$9,"",IF($B31&gt;SMR!$D$30+SMR!$E$9,"",IF(ISBLANK(SMR!$C$40),-F31*S31*SMR!$D$37,-SMR!$C$40*S31*SMR!$D$37))))</f>
        <v/>
      </c>
      <c r="M31" s="426" t="str">
        <f>IF($B31=SMR!$E$9,SUM(G31:L31),IF($B31&lt;SMR!$E$9,"",IF($B31&gt;SMR!$D$30+SMR!$E$9,"",SUM(G31:L31))))</f>
        <v/>
      </c>
      <c r="N31" s="426" t="str">
        <f>IF($B31=SMR!$E$9,I31/(1+SMR!$D$31)^'CFA SMR'!C31,IF($B31&lt;SMR!$E$9,"",IF($B31&gt;SMR!$D$30+SMR!$E$9,"",I31/(1+SMR!$D$31)^'CFA SMR'!C31)))</f>
        <v/>
      </c>
      <c r="O31" s="426" t="str">
        <f>IF($B31=SMR!$E$9,J31/(1+SMR!$D$31)^'CFA SMR'!C31,IF($B31&lt;SMR!$E$9,"",IF($B31&gt;SMR!$D$30+SMR!$E$9,"",J31/(1+SMR!$D$31)^'CFA SMR'!C31)))</f>
        <v/>
      </c>
      <c r="P31" s="426" t="str">
        <f>IF($B31=SMR!$E$9,K31/(1+SMR!$D$31)^'CFA SMR'!C31,IF($B31&lt;SMR!$E$9,"",IF($B31&gt;SMR!$D$30+SMR!$E$9,"",K31/(1+SMR!$D$31)^'CFA SMR'!C31)))</f>
        <v/>
      </c>
      <c r="Q31" s="426" t="str">
        <f>IF($B31=SMR!$E$9,L31/(1+SMR!$D$31)^'CFA SMR'!C31,IF($B31&lt;SMR!$E$9,"",IF($B31&gt;SMR!$D$30+SMR!$E$9,"",L31/(1+SMR!$D$31)^'CFA SMR'!C31)))</f>
        <v/>
      </c>
      <c r="R31" s="426" t="str">
        <f>IF($B31=SMR!$E$9,M31/(1+SMR!$D$31)^'CFA SMR'!C31,IF($B31&lt;SMR!$E$9,"",IF($B31&gt;SMR!$D$30+SMR!$E$9,"",M31/(1+SMR!$D$31)^'CFA SMR'!C31)))</f>
        <v/>
      </c>
      <c r="S31" s="429" t="str">
        <f>IF($B31=SMR!$E$9,0,IF($B31&lt;SMR!$E$9,"",IF($B31&gt;SMR!$D$30+SMR!$E$9,"",SMR!$D$60)))</f>
        <v/>
      </c>
      <c r="T31" s="430" t="str">
        <f>IF($B31=SMR!$E$9,S31/(1+SMR!$D$31)^'CFA SMR'!C31,IF($B31&lt;SMR!$E$9,"",IF($B31&gt;SMR!$D$30+SMR!$E$9,"",S31/(1+SMR!$D$31)^'CFA SMR'!C31)))</f>
        <v/>
      </c>
    </row>
    <row r="32" spans="2:20">
      <c r="B32" s="424">
        <v>2050</v>
      </c>
      <c r="C32" s="431" t="str">
        <f>IF($B32=SMR!$E$9,B32-HOME!$A$9,IF($B32&lt;SMR!$E$9,"",IF($B32&gt;SMR!$D$30+SMR!$E$9,"",B32-HOME!$A$9)))</f>
        <v/>
      </c>
      <c r="D32" s="426" t="str" cm="1">
        <f t="array" ref="D32">IF(B32=SMR!$E$9,"",IF(B32&lt;SMR!$E$9,"",IF(B32&gt;SMR!$D$30+SMR!$E$9,"",INDEX(Tb_Fuel[],MATCH(B32,Tb_Fuel[Year],0),HLOOKUP(SMR!$E$8&amp;" - Gas",'Fuel Data'!$BB$2:$BX$3,2,FALSE)+1))))</f>
        <v/>
      </c>
      <c r="E32" s="426" t="str" cm="1">
        <f t="array" ref="E32">IF(B32=SMR!$E$9,"",IF(B32&lt;SMR!$E$9,"",IF(B32&gt;SMR!$D$30+SMR!$E$9,"",INDEX(Tb_Fuel[],MATCH(B32,Tb_Fuel[Year],0),HLOOKUP(SMR!$E$8&amp;" - CO2 price",'Fuel Data'!$BB$2:$BX$3,2,FALSE)+1))))</f>
        <v/>
      </c>
      <c r="F32" s="426" t="str" cm="1">
        <f t="array" ref="F32">IF(B32=SMR!$E$9,"",IF(B32&lt;SMR!$E$9,"",IF(B32&gt;SMR!$D$30+SMR!$E$9,"",INDEX(Tb_Fuel[],MATCH(B32,Tb_Fuel[Year],0),HLOOKUP(SMR!$E$8&amp;" - Feed-in electricity price",'Fuel Data'!$BB$2:$BX$3,2,FALSE)+1))))</f>
        <v/>
      </c>
      <c r="G32" s="426" t="str">
        <f>IF(B32=SMR!$E$9,SMR!$D$48,IF(B32&lt;SMR!$E$9,"",IF(B32&gt;SMR!$D$30+SMR!$E$9,"",0)))</f>
        <v/>
      </c>
      <c r="H32" s="426" t="str">
        <f>IF(B32=SMR!$E$9,0,IF(B32&lt;SMR!$E$9,"",IF(B32&gt;SMR!$D$30+SMR!$E$9,"",SMR!$D$48*SMR!$D$29)))</f>
        <v/>
      </c>
      <c r="I32" s="426" t="str">
        <f>IF($B32=SMR!$E$9,0,IF($B32&lt;SMR!$E$9,"",IF($B32&gt;SMR!$D$30+SMR!$E$9,"",IF(ISBLANK(SMR!$C$39),(D32*'General values'!$B$26/'General values'!$C$3)*SMR!$D$32*8760*(SMR!$D$34+SMR!$D$35),(SMR!$D$39*'General values'!$B$26/'General values'!$C$3)*SMR!$D$32*8760*(SMR!$D$34+SMR!$D$35)))))</f>
        <v/>
      </c>
      <c r="J32" s="426" t="str">
        <f>IF($B32=SMR!$E$9,0,IF($B32&lt;SMR!$E$9,"",IF($B32&gt;SMR!$D$30+SMR!$E$9,"",SMR!$D$41*SMR!$D$55*SMR!$D$44*SMR!$D$60)))</f>
        <v/>
      </c>
      <c r="K32" s="426" t="str">
        <f>IF($B32=SMR!$E$9,0,IF($B32&lt;SMR!$E$9,"",IF($B32&gt;SMR!$D$30+SMR!$E$9,"",IF(ISBLANK(SMR!$C$42),E32*(1-SMR!$D$44)*SMR!$D$55*SMR!$D$60,SMR!$D$42*(1-SMR!$D$44)*SMR!$D$55*SMR!$D$60))))</f>
        <v/>
      </c>
      <c r="L32" s="426" t="str">
        <f>IF($B32=SMR!$E$9,0,IF($B32&lt;SMR!$E$9,"",IF($B32&gt;SMR!$D$30+SMR!$E$9,"",IF(ISBLANK(SMR!$C$40),-F32*S32*SMR!$D$37,-SMR!$C$40*S32*SMR!$D$37))))</f>
        <v/>
      </c>
      <c r="M32" s="426" t="str">
        <f>IF($B32=SMR!$E$9,SUM(G32:L32),IF($B32&lt;SMR!$E$9,"",IF($B32&gt;SMR!$D$30+SMR!$E$9,"",SUM(G32:L32))))</f>
        <v/>
      </c>
      <c r="N32" s="426" t="str">
        <f>IF($B32=SMR!$E$9,I32/(1+SMR!$D$31)^'CFA SMR'!C32,IF($B32&lt;SMR!$E$9,"",IF($B32&gt;SMR!$D$30+SMR!$E$9,"",I32/(1+SMR!$D$31)^'CFA SMR'!C32)))</f>
        <v/>
      </c>
      <c r="O32" s="426" t="str">
        <f>IF($B32=SMR!$E$9,J32/(1+SMR!$D$31)^'CFA SMR'!C32,IF($B32&lt;SMR!$E$9,"",IF($B32&gt;SMR!$D$30+SMR!$E$9,"",J32/(1+SMR!$D$31)^'CFA SMR'!C32)))</f>
        <v/>
      </c>
      <c r="P32" s="426" t="str">
        <f>IF($B32=SMR!$E$9,K32/(1+SMR!$D$31)^'CFA SMR'!C32,IF($B32&lt;SMR!$E$9,"",IF($B32&gt;SMR!$D$30+SMR!$E$9,"",K32/(1+SMR!$D$31)^'CFA SMR'!C32)))</f>
        <v/>
      </c>
      <c r="Q32" s="426" t="str">
        <f>IF($B32=SMR!$E$9,L32/(1+SMR!$D$31)^'CFA SMR'!C32,IF($B32&lt;SMR!$E$9,"",IF($B32&gt;SMR!$D$30+SMR!$E$9,"",L32/(1+SMR!$D$31)^'CFA SMR'!C32)))</f>
        <v/>
      </c>
      <c r="R32" s="426" t="str">
        <f>IF($B32=SMR!$E$9,M32/(1+SMR!$D$31)^'CFA SMR'!C32,IF($B32&lt;SMR!$E$9,"",IF($B32&gt;SMR!$D$30+SMR!$E$9,"",M32/(1+SMR!$D$31)^'CFA SMR'!C32)))</f>
        <v/>
      </c>
      <c r="S32" s="429" t="str">
        <f>IF($B32=SMR!$E$9,0,IF($B32&lt;SMR!$E$9,"",IF($B32&gt;SMR!$D$30+SMR!$E$9,"",SMR!$D$60)))</f>
        <v/>
      </c>
      <c r="T32" s="430" t="str">
        <f>IF($B32=SMR!$E$9,S32/(1+SMR!$D$31)^'CFA SMR'!C32,IF($B32&lt;SMR!$E$9,"",IF($B32&gt;SMR!$D$30+SMR!$E$9,"",S32/(1+SMR!$D$31)^'CFA SMR'!C32)))</f>
        <v/>
      </c>
    </row>
    <row r="33" spans="2:20">
      <c r="B33" s="424">
        <v>2051</v>
      </c>
      <c r="C33" s="431" t="str">
        <f>IF($B33=SMR!$E$9,B33-HOME!$A$9,IF($B33&lt;SMR!$E$9,"",IF($B33&gt;SMR!$D$30+SMR!$E$9,"",B33-HOME!$A$9)))</f>
        <v/>
      </c>
      <c r="D33" s="426" t="str" cm="1">
        <f t="array" ref="D33">IF(B33=SMR!$E$9,"",IF(B33&lt;SMR!$E$9,"",IF(B33&gt;SMR!$D$30+SMR!$E$9,"",INDEX(Tb_Fuel[],MATCH(B33,Tb_Fuel[Year],0),HLOOKUP(SMR!$E$8&amp;" - Gas",'Fuel Data'!$BB$2:$BX$3,2,FALSE)+1))))</f>
        <v/>
      </c>
      <c r="E33" s="426" t="str" cm="1">
        <f t="array" ref="E33">IF(B33=SMR!$E$9,"",IF(B33&lt;SMR!$E$9,"",IF(B33&gt;SMR!$D$30+SMR!$E$9,"",INDEX(Tb_Fuel[],MATCH(B33,Tb_Fuel[Year],0),HLOOKUP(SMR!$E$8&amp;" - CO2 price",'Fuel Data'!$BB$2:$BX$3,2,FALSE)+1))))</f>
        <v/>
      </c>
      <c r="F33" s="426" t="str" cm="1">
        <f t="array" ref="F33">IF(B33=SMR!$E$9,"",IF(B33&lt;SMR!$E$9,"",IF(B33&gt;SMR!$D$30+SMR!$E$9,"",INDEX(Tb_Fuel[],MATCH(B33,Tb_Fuel[Year],0),HLOOKUP(SMR!$E$8&amp;" - Feed-in electricity price",'Fuel Data'!$BB$2:$BX$3,2,FALSE)+1))))</f>
        <v/>
      </c>
      <c r="G33" s="426" t="str">
        <f>IF(B33=SMR!$E$9,SMR!$D$48,IF(B33&lt;SMR!$E$9,"",IF(B33&gt;SMR!$D$30+SMR!$E$9,"",0)))</f>
        <v/>
      </c>
      <c r="H33" s="426" t="str">
        <f>IF(B33=SMR!$E$9,0,IF(B33&lt;SMR!$E$9,"",IF(B33&gt;SMR!$D$30+SMR!$E$9,"",SMR!$D$48*SMR!$D$29)))</f>
        <v/>
      </c>
      <c r="I33" s="426" t="str">
        <f>IF($B33=SMR!$E$9,0,IF($B33&lt;SMR!$E$9,"",IF($B33&gt;SMR!$D$30+SMR!$E$9,"",IF(ISBLANK(SMR!$C$39),(D33*'General values'!$B$26/'General values'!$C$3)*SMR!$D$32*8760*(SMR!$D$34+SMR!$D$35),(SMR!$D$39*'General values'!$B$26/'General values'!$C$3)*SMR!$D$32*8760*(SMR!$D$34+SMR!$D$35)))))</f>
        <v/>
      </c>
      <c r="J33" s="426" t="str">
        <f>IF($B33=SMR!$E$9,0,IF($B33&lt;SMR!$E$9,"",IF($B33&gt;SMR!$D$30+SMR!$E$9,"",SMR!$D$41*SMR!$D$55*SMR!$D$44*SMR!$D$60)))</f>
        <v/>
      </c>
      <c r="K33" s="426" t="str">
        <f>IF($B33=SMR!$E$9,0,IF($B33&lt;SMR!$E$9,"",IF($B33&gt;SMR!$D$30+SMR!$E$9,"",IF(ISBLANK(SMR!$C$42),E33*(1-SMR!$D$44)*SMR!$D$55*SMR!$D$60,SMR!$D$42*(1-SMR!$D$44)*SMR!$D$55*SMR!$D$60))))</f>
        <v/>
      </c>
      <c r="L33" s="426" t="str">
        <f>IF($B33=SMR!$E$9,0,IF($B33&lt;SMR!$E$9,"",IF($B33&gt;SMR!$D$30+SMR!$E$9,"",IF(ISBLANK(SMR!$C$40),-F33*S33*SMR!$D$37,-SMR!$C$40*S33*SMR!$D$37))))</f>
        <v/>
      </c>
      <c r="M33" s="426" t="str">
        <f>IF($B33=SMR!$E$9,SUM(G33:L33),IF($B33&lt;SMR!$E$9,"",IF($B33&gt;SMR!$D$30+SMR!$E$9,"",SUM(G33:L33))))</f>
        <v/>
      </c>
      <c r="N33" s="426" t="str">
        <f>IF($B33=SMR!$E$9,I33/(1+SMR!$D$31)^'CFA SMR'!C33,IF($B33&lt;SMR!$E$9,"",IF($B33&gt;SMR!$D$30+SMR!$E$9,"",I33/(1+SMR!$D$31)^'CFA SMR'!C33)))</f>
        <v/>
      </c>
      <c r="O33" s="426" t="str">
        <f>IF($B33=SMR!$E$9,J33/(1+SMR!$D$31)^'CFA SMR'!C33,IF($B33&lt;SMR!$E$9,"",IF($B33&gt;SMR!$D$30+SMR!$E$9,"",J33/(1+SMR!$D$31)^'CFA SMR'!C33)))</f>
        <v/>
      </c>
      <c r="P33" s="426" t="str">
        <f>IF($B33=SMR!$E$9,K33/(1+SMR!$D$31)^'CFA SMR'!C33,IF($B33&lt;SMR!$E$9,"",IF($B33&gt;SMR!$D$30+SMR!$E$9,"",K33/(1+SMR!$D$31)^'CFA SMR'!C33)))</f>
        <v/>
      </c>
      <c r="Q33" s="426" t="str">
        <f>IF($B33=SMR!$E$9,L33/(1+SMR!$D$31)^'CFA SMR'!C33,IF($B33&lt;SMR!$E$9,"",IF($B33&gt;SMR!$D$30+SMR!$E$9,"",L33/(1+SMR!$D$31)^'CFA SMR'!C33)))</f>
        <v/>
      </c>
      <c r="R33" s="426" t="str">
        <f>IF($B33=SMR!$E$9,M33/(1+SMR!$D$31)^'CFA SMR'!C33,IF($B33&lt;SMR!$E$9,"",IF($B33&gt;SMR!$D$30+SMR!$E$9,"",M33/(1+SMR!$D$31)^'CFA SMR'!C33)))</f>
        <v/>
      </c>
      <c r="S33" s="429" t="str">
        <f>IF($B33=SMR!$E$9,0,IF($B33&lt;SMR!$E$9,"",IF($B33&gt;SMR!$D$30+SMR!$E$9,"",SMR!$D$60)))</f>
        <v/>
      </c>
      <c r="T33" s="430" t="str">
        <f>IF($B33=SMR!$E$9,S33/(1+SMR!$D$31)^'CFA SMR'!C33,IF($B33&lt;SMR!$E$9,"",IF($B33&gt;SMR!$D$30+SMR!$E$9,"",S33/(1+SMR!$D$31)^'CFA SMR'!C33)))</f>
        <v/>
      </c>
    </row>
    <row r="34" spans="2:20">
      <c r="B34" s="424">
        <v>2052</v>
      </c>
      <c r="C34" s="431" t="str">
        <f>IF($B34=SMR!$E$9,B34-HOME!$A$9,IF($B34&lt;SMR!$E$9,"",IF($B34&gt;SMR!$D$30+SMR!$E$9,"",B34-HOME!$A$9)))</f>
        <v/>
      </c>
      <c r="D34" s="426" t="str" cm="1">
        <f t="array" ref="D34">IF(B34=SMR!$E$9,"",IF(B34&lt;SMR!$E$9,"",IF(B34&gt;SMR!$D$30+SMR!$E$9,"",INDEX(Tb_Fuel[],MATCH(B34,Tb_Fuel[Year],0),HLOOKUP(SMR!$E$8&amp;" - Gas",'Fuel Data'!$BB$2:$BX$3,2,FALSE)+1))))</f>
        <v/>
      </c>
      <c r="E34" s="426" t="str" cm="1">
        <f t="array" ref="E34">IF(B34=SMR!$E$9,"",IF(B34&lt;SMR!$E$9,"",IF(B34&gt;SMR!$D$30+SMR!$E$9,"",INDEX(Tb_Fuel[],MATCH(B34,Tb_Fuel[Year],0),HLOOKUP(SMR!$E$8&amp;" - CO2 price",'Fuel Data'!$BB$2:$BX$3,2,FALSE)+1))))</f>
        <v/>
      </c>
      <c r="F34" s="426" t="str" cm="1">
        <f t="array" ref="F34">IF(B34=SMR!$E$9,"",IF(B34&lt;SMR!$E$9,"",IF(B34&gt;SMR!$D$30+SMR!$E$9,"",INDEX(Tb_Fuel[],MATCH(B34,Tb_Fuel[Year],0),HLOOKUP(SMR!$E$8&amp;" - Feed-in electricity price",'Fuel Data'!$BB$2:$BX$3,2,FALSE)+1))))</f>
        <v/>
      </c>
      <c r="G34" s="426" t="str">
        <f>IF(B34=SMR!$E$9,SMR!$D$48,IF(B34&lt;SMR!$E$9,"",IF(B34&gt;SMR!$D$30+SMR!$E$9,"",0)))</f>
        <v/>
      </c>
      <c r="H34" s="426" t="str">
        <f>IF(B34=SMR!$E$9,0,IF(B34&lt;SMR!$E$9,"",IF(B34&gt;SMR!$D$30+SMR!$E$9,"",SMR!$D$48*SMR!$D$29)))</f>
        <v/>
      </c>
      <c r="I34" s="426" t="str">
        <f>IF($B34=SMR!$E$9,0,IF($B34&lt;SMR!$E$9,"",IF($B34&gt;SMR!$D$30+SMR!$E$9,"",IF(ISBLANK(SMR!$C$39),(D34*'General values'!$B$26/'General values'!$C$3)*SMR!$D$32*8760*(SMR!$D$34+SMR!$D$35),(SMR!$D$39*'General values'!$B$26/'General values'!$C$3)*SMR!$D$32*8760*(SMR!$D$34+SMR!$D$35)))))</f>
        <v/>
      </c>
      <c r="J34" s="426" t="str">
        <f>IF($B34=SMR!$E$9,0,IF($B34&lt;SMR!$E$9,"",IF($B34&gt;SMR!$D$30+SMR!$E$9,"",SMR!$D$41*SMR!$D$55*SMR!$D$44*SMR!$D$60)))</f>
        <v/>
      </c>
      <c r="K34" s="426" t="str">
        <f>IF($B34=SMR!$E$9,0,IF($B34&lt;SMR!$E$9,"",IF($B34&gt;SMR!$D$30+SMR!$E$9,"",IF(ISBLANK(SMR!$C$42),E34*(1-SMR!$D$44)*SMR!$D$55*SMR!$D$60,SMR!$D$42*(1-SMR!$D$44)*SMR!$D$55*SMR!$D$60))))</f>
        <v/>
      </c>
      <c r="L34" s="426" t="str">
        <f>IF($B34=SMR!$E$9,0,IF($B34&lt;SMR!$E$9,"",IF($B34&gt;SMR!$D$30+SMR!$E$9,"",IF(ISBLANK(SMR!$C$40),-F34*S34*SMR!$D$37,-SMR!$C$40*S34*SMR!$D$37))))</f>
        <v/>
      </c>
      <c r="M34" s="426" t="str">
        <f>IF($B34=SMR!$E$9,SUM(G34:L34),IF($B34&lt;SMR!$E$9,"",IF($B34&gt;SMR!$D$30+SMR!$E$9,"",SUM(G34:L34))))</f>
        <v/>
      </c>
      <c r="N34" s="426" t="str">
        <f>IF($B34=SMR!$E$9,I34/(1+SMR!$D$31)^'CFA SMR'!C34,IF($B34&lt;SMR!$E$9,"",IF($B34&gt;SMR!$D$30+SMR!$E$9,"",I34/(1+SMR!$D$31)^'CFA SMR'!C34)))</f>
        <v/>
      </c>
      <c r="O34" s="426" t="str">
        <f>IF($B34=SMR!$E$9,J34/(1+SMR!$D$31)^'CFA SMR'!C34,IF($B34&lt;SMR!$E$9,"",IF($B34&gt;SMR!$D$30+SMR!$E$9,"",J34/(1+SMR!$D$31)^'CFA SMR'!C34)))</f>
        <v/>
      </c>
      <c r="P34" s="426" t="str">
        <f>IF($B34=SMR!$E$9,K34/(1+SMR!$D$31)^'CFA SMR'!C34,IF($B34&lt;SMR!$E$9,"",IF($B34&gt;SMR!$D$30+SMR!$E$9,"",K34/(1+SMR!$D$31)^'CFA SMR'!C34)))</f>
        <v/>
      </c>
      <c r="Q34" s="426" t="str">
        <f>IF($B34=SMR!$E$9,L34/(1+SMR!$D$31)^'CFA SMR'!C34,IF($B34&lt;SMR!$E$9,"",IF($B34&gt;SMR!$D$30+SMR!$E$9,"",L34/(1+SMR!$D$31)^'CFA SMR'!C34)))</f>
        <v/>
      </c>
      <c r="R34" s="426" t="str">
        <f>IF($B34=SMR!$E$9,M34/(1+SMR!$D$31)^'CFA SMR'!C34,IF($B34&lt;SMR!$E$9,"",IF($B34&gt;SMR!$D$30+SMR!$E$9,"",M34/(1+SMR!$D$31)^'CFA SMR'!C34)))</f>
        <v/>
      </c>
      <c r="S34" s="429" t="str">
        <f>IF($B34=SMR!$E$9,0,IF($B34&lt;SMR!$E$9,"",IF($B34&gt;SMR!$D$30+SMR!$E$9,"",SMR!$D$60)))</f>
        <v/>
      </c>
      <c r="T34" s="430" t="str">
        <f>IF($B34=SMR!$E$9,S34/(1+SMR!$D$31)^'CFA SMR'!C34,IF($B34&lt;SMR!$E$9,"",IF($B34&gt;SMR!$D$30+SMR!$E$9,"",S34/(1+SMR!$D$31)^'CFA SMR'!C34)))</f>
        <v/>
      </c>
    </row>
    <row r="35" spans="2:20">
      <c r="B35" s="424">
        <v>2053</v>
      </c>
      <c r="C35" s="431" t="str">
        <f>IF($B35=SMR!$E$9,B35-HOME!$A$9,IF($B35&lt;SMR!$E$9,"",IF($B35&gt;SMR!$D$30+SMR!$E$9,"",B35-HOME!$A$9)))</f>
        <v/>
      </c>
      <c r="D35" s="426" t="str" cm="1">
        <f t="array" ref="D35">IF(B35=SMR!$E$9,"",IF(B35&lt;SMR!$E$9,"",IF(B35&gt;SMR!$D$30+SMR!$E$9,"",INDEX(Tb_Fuel[],MATCH(B35,Tb_Fuel[Year],0),HLOOKUP(SMR!$E$8&amp;" - Gas",'Fuel Data'!$BB$2:$BX$3,2,FALSE)+1))))</f>
        <v/>
      </c>
      <c r="E35" s="426" t="str" cm="1">
        <f t="array" ref="E35">IF(B35=SMR!$E$9,"",IF(B35&lt;SMR!$E$9,"",IF(B35&gt;SMR!$D$30+SMR!$E$9,"",INDEX(Tb_Fuel[],MATCH(B35,Tb_Fuel[Year],0),HLOOKUP(SMR!$E$8&amp;" - CO2 price",'Fuel Data'!$BB$2:$BX$3,2,FALSE)+1))))</f>
        <v/>
      </c>
      <c r="F35" s="426" t="str" cm="1">
        <f t="array" ref="F35">IF(B35=SMR!$E$9,"",IF(B35&lt;SMR!$E$9,"",IF(B35&gt;SMR!$D$30+SMR!$E$9,"",INDEX(Tb_Fuel[],MATCH(B35,Tb_Fuel[Year],0),HLOOKUP(SMR!$E$8&amp;" - Feed-in electricity price",'Fuel Data'!$BB$2:$BX$3,2,FALSE)+1))))</f>
        <v/>
      </c>
      <c r="G35" s="426" t="str">
        <f>IF(B35=SMR!$E$9,SMR!$D$48,IF(B35&lt;SMR!$E$9,"",IF(B35&gt;SMR!$D$30+SMR!$E$9,"",0)))</f>
        <v/>
      </c>
      <c r="H35" s="426" t="str">
        <f>IF(B35=SMR!$E$9,0,IF(B35&lt;SMR!$E$9,"",IF(B35&gt;SMR!$D$30+SMR!$E$9,"",SMR!$D$48*SMR!$D$29)))</f>
        <v/>
      </c>
      <c r="I35" s="426" t="str">
        <f>IF($B35=SMR!$E$9,0,IF($B35&lt;SMR!$E$9,"",IF($B35&gt;SMR!$D$30+SMR!$E$9,"",IF(ISBLANK(SMR!$C$39),(D35*'General values'!$B$26/'General values'!$C$3)*SMR!$D$32*8760*(SMR!$D$34+SMR!$D$35),(SMR!$D$39*'General values'!$B$26/'General values'!$C$3)*SMR!$D$32*8760*(SMR!$D$34+SMR!$D$35)))))</f>
        <v/>
      </c>
      <c r="J35" s="426" t="str">
        <f>IF($B35=SMR!$E$9,0,IF($B35&lt;SMR!$E$9,"",IF($B35&gt;SMR!$D$30+SMR!$E$9,"",SMR!$D$41*SMR!$D$55*SMR!$D$44*SMR!$D$60)))</f>
        <v/>
      </c>
      <c r="K35" s="426" t="str">
        <f>IF($B35=SMR!$E$9,0,IF($B35&lt;SMR!$E$9,"",IF($B35&gt;SMR!$D$30+SMR!$E$9,"",IF(ISBLANK(SMR!$C$42),E35*(1-SMR!$D$44)*SMR!$D$55*SMR!$D$60,SMR!$D$42*(1-SMR!$D$44)*SMR!$D$55*SMR!$D$60))))</f>
        <v/>
      </c>
      <c r="L35" s="426" t="str">
        <f>IF($B35=SMR!$E$9,0,IF($B35&lt;SMR!$E$9,"",IF($B35&gt;SMR!$D$30+SMR!$E$9,"",IF(ISBLANK(SMR!$C$40),-F35*S35*SMR!$D$37,-SMR!$C$40*S35*SMR!$D$37))))</f>
        <v/>
      </c>
      <c r="M35" s="426" t="str">
        <f>IF($B35=SMR!$E$9,SUM(G35:L35),IF($B35&lt;SMR!$E$9,"",IF($B35&gt;SMR!$D$30+SMR!$E$9,"",SUM(G35:L35))))</f>
        <v/>
      </c>
      <c r="N35" s="426" t="str">
        <f>IF($B35=SMR!$E$9,I35/(1+SMR!$D$31)^'CFA SMR'!C35,IF($B35&lt;SMR!$E$9,"",IF($B35&gt;SMR!$D$30+SMR!$E$9,"",I35/(1+SMR!$D$31)^'CFA SMR'!C35)))</f>
        <v/>
      </c>
      <c r="O35" s="426" t="str">
        <f>IF($B35=SMR!$E$9,J35/(1+SMR!$D$31)^'CFA SMR'!C35,IF($B35&lt;SMR!$E$9,"",IF($B35&gt;SMR!$D$30+SMR!$E$9,"",J35/(1+SMR!$D$31)^'CFA SMR'!C35)))</f>
        <v/>
      </c>
      <c r="P35" s="426" t="str">
        <f>IF($B35=SMR!$E$9,K35/(1+SMR!$D$31)^'CFA SMR'!C35,IF($B35&lt;SMR!$E$9,"",IF($B35&gt;SMR!$D$30+SMR!$E$9,"",K35/(1+SMR!$D$31)^'CFA SMR'!C35)))</f>
        <v/>
      </c>
      <c r="Q35" s="426" t="str">
        <f>IF($B35=SMR!$E$9,L35/(1+SMR!$D$31)^'CFA SMR'!C35,IF($B35&lt;SMR!$E$9,"",IF($B35&gt;SMR!$D$30+SMR!$E$9,"",L35/(1+SMR!$D$31)^'CFA SMR'!C35)))</f>
        <v/>
      </c>
      <c r="R35" s="426" t="str">
        <f>IF($B35=SMR!$E$9,M35/(1+SMR!$D$31)^'CFA SMR'!C35,IF($B35&lt;SMR!$E$9,"",IF($B35&gt;SMR!$D$30+SMR!$E$9,"",M35/(1+SMR!$D$31)^'CFA SMR'!C35)))</f>
        <v/>
      </c>
      <c r="S35" s="429" t="str">
        <f>IF($B35=SMR!$E$9,0,IF($B35&lt;SMR!$E$9,"",IF($B35&gt;SMR!$D$30+SMR!$E$9,"",SMR!$D$60)))</f>
        <v/>
      </c>
      <c r="T35" s="430" t="str">
        <f>IF($B35=SMR!$E$9,S35/(1+SMR!$D$31)^'CFA SMR'!C35,IF($B35&lt;SMR!$E$9,"",IF($B35&gt;SMR!$D$30+SMR!$E$9,"",S35/(1+SMR!$D$31)^'CFA SMR'!C35)))</f>
        <v/>
      </c>
    </row>
    <row r="36" spans="2:20">
      <c r="B36" s="424">
        <v>2054</v>
      </c>
      <c r="C36" s="431" t="str">
        <f>IF($B36=SMR!$E$9,B36-HOME!$A$9,IF($B36&lt;SMR!$E$9,"",IF($B36&gt;SMR!$D$30+SMR!$E$9,"",B36-HOME!$A$9)))</f>
        <v/>
      </c>
      <c r="D36" s="426" t="str" cm="1">
        <f t="array" ref="D36">IF(B36=SMR!$E$9,"",IF(B36&lt;SMR!$E$9,"",IF(B36&gt;SMR!$D$30+SMR!$E$9,"",INDEX(Tb_Fuel[],MATCH(B36,Tb_Fuel[Year],0),HLOOKUP(SMR!$E$8&amp;" - Gas",'Fuel Data'!$BB$2:$BX$3,2,FALSE)+1))))</f>
        <v/>
      </c>
      <c r="E36" s="426" t="str" cm="1">
        <f t="array" ref="E36">IF(B36=SMR!$E$9,"",IF(B36&lt;SMR!$E$9,"",IF(B36&gt;SMR!$D$30+SMR!$E$9,"",INDEX(Tb_Fuel[],MATCH(B36,Tb_Fuel[Year],0),HLOOKUP(SMR!$E$8&amp;" - CO2 price",'Fuel Data'!$BB$2:$BX$3,2,FALSE)+1))))</f>
        <v/>
      </c>
      <c r="F36" s="426" t="str" cm="1">
        <f t="array" ref="F36">IF(B36=SMR!$E$9,"",IF(B36&lt;SMR!$E$9,"",IF(B36&gt;SMR!$D$30+SMR!$E$9,"",INDEX(Tb_Fuel[],MATCH(B36,Tb_Fuel[Year],0),HLOOKUP(SMR!$E$8&amp;" - Feed-in electricity price",'Fuel Data'!$BB$2:$BX$3,2,FALSE)+1))))</f>
        <v/>
      </c>
      <c r="G36" s="426" t="str">
        <f>IF(B36=SMR!$E$9,SMR!$D$48,IF(B36&lt;SMR!$E$9,"",IF(B36&gt;SMR!$D$30+SMR!$E$9,"",0)))</f>
        <v/>
      </c>
      <c r="H36" s="426" t="str">
        <f>IF(B36=SMR!$E$9,0,IF(B36&lt;SMR!$E$9,"",IF(B36&gt;SMR!$D$30+SMR!$E$9,"",SMR!$D$48*SMR!$D$29)))</f>
        <v/>
      </c>
      <c r="I36" s="426" t="str">
        <f>IF($B36=SMR!$E$9,0,IF($B36&lt;SMR!$E$9,"",IF($B36&gt;SMR!$D$30+SMR!$E$9,"",IF(ISBLANK(SMR!$C$39),(D36*'General values'!$B$26/'General values'!$C$3)*SMR!$D$32*8760*(SMR!$D$34+SMR!$D$35),(SMR!$D$39*'General values'!$B$26/'General values'!$C$3)*SMR!$D$32*8760*(SMR!$D$34+SMR!$D$35)))))</f>
        <v/>
      </c>
      <c r="J36" s="426" t="str">
        <f>IF($B36=SMR!$E$9,0,IF($B36&lt;SMR!$E$9,"",IF($B36&gt;SMR!$D$30+SMR!$E$9,"",SMR!$D$41*SMR!$D$55*SMR!$D$44*SMR!$D$60)))</f>
        <v/>
      </c>
      <c r="K36" s="426" t="str">
        <f>IF($B36=SMR!$E$9,0,IF($B36&lt;SMR!$E$9,"",IF($B36&gt;SMR!$D$30+SMR!$E$9,"",IF(ISBLANK(SMR!$C$42),E36*(1-SMR!$D$44)*SMR!$D$55*SMR!$D$60,SMR!$D$42*(1-SMR!$D$44)*SMR!$D$55*SMR!$D$60))))</f>
        <v/>
      </c>
      <c r="L36" s="426" t="str">
        <f>IF($B36=SMR!$E$9,0,IF($B36&lt;SMR!$E$9,"",IF($B36&gt;SMR!$D$30+SMR!$E$9,"",IF(ISBLANK(SMR!$C$40),-F36*S36*SMR!$D$37,-SMR!$C$40*S36*SMR!$D$37))))</f>
        <v/>
      </c>
      <c r="M36" s="426" t="str">
        <f>IF($B36=SMR!$E$9,SUM(G36:L36),IF($B36&lt;SMR!$E$9,"",IF($B36&gt;SMR!$D$30+SMR!$E$9,"",SUM(G36:L36))))</f>
        <v/>
      </c>
      <c r="N36" s="426" t="str">
        <f>IF($B36=SMR!$E$9,I36/(1+SMR!$D$31)^'CFA SMR'!C36,IF($B36&lt;SMR!$E$9,"",IF($B36&gt;SMR!$D$30+SMR!$E$9,"",I36/(1+SMR!$D$31)^'CFA SMR'!C36)))</f>
        <v/>
      </c>
      <c r="O36" s="426" t="str">
        <f>IF($B36=SMR!$E$9,J36/(1+SMR!$D$31)^'CFA SMR'!C36,IF($B36&lt;SMR!$E$9,"",IF($B36&gt;SMR!$D$30+SMR!$E$9,"",J36/(1+SMR!$D$31)^'CFA SMR'!C36)))</f>
        <v/>
      </c>
      <c r="P36" s="426" t="str">
        <f>IF($B36=SMR!$E$9,K36/(1+SMR!$D$31)^'CFA SMR'!C36,IF($B36&lt;SMR!$E$9,"",IF($B36&gt;SMR!$D$30+SMR!$E$9,"",K36/(1+SMR!$D$31)^'CFA SMR'!C36)))</f>
        <v/>
      </c>
      <c r="Q36" s="426" t="str">
        <f>IF($B36=SMR!$E$9,L36/(1+SMR!$D$31)^'CFA SMR'!C36,IF($B36&lt;SMR!$E$9,"",IF($B36&gt;SMR!$D$30+SMR!$E$9,"",L36/(1+SMR!$D$31)^'CFA SMR'!C36)))</f>
        <v/>
      </c>
      <c r="R36" s="426" t="str">
        <f>IF($B36=SMR!$E$9,M36/(1+SMR!$D$31)^'CFA SMR'!C36,IF($B36&lt;SMR!$E$9,"",IF($B36&gt;SMR!$D$30+SMR!$E$9,"",M36/(1+SMR!$D$31)^'CFA SMR'!C36)))</f>
        <v/>
      </c>
      <c r="S36" s="429" t="str">
        <f>IF($B36=SMR!$E$9,0,IF($B36&lt;SMR!$E$9,"",IF($B36&gt;SMR!$D$30+SMR!$E$9,"",SMR!$D$60)))</f>
        <v/>
      </c>
      <c r="T36" s="430" t="str">
        <f>IF($B36=SMR!$E$9,S36/(1+SMR!$D$31)^'CFA SMR'!C36,IF($B36&lt;SMR!$E$9,"",IF($B36&gt;SMR!$D$30+SMR!$E$9,"",S36/(1+SMR!$D$31)^'CFA SMR'!C36)))</f>
        <v/>
      </c>
    </row>
    <row r="37" spans="2:20">
      <c r="B37" s="424">
        <v>2055</v>
      </c>
      <c r="C37" s="431" t="str">
        <f>IF($B37=SMR!$E$9,B37-HOME!$A$9,IF($B37&lt;SMR!$E$9,"",IF($B37&gt;SMR!$D$30+SMR!$E$9,"",B37-HOME!$A$9)))</f>
        <v/>
      </c>
      <c r="D37" s="426" t="str" cm="1">
        <f t="array" ref="D37">IF(B37=SMR!$E$9,"",IF(B37&lt;SMR!$E$9,"",IF(B37&gt;SMR!$D$30+SMR!$E$9,"",INDEX(Tb_Fuel[],MATCH(B37,Tb_Fuel[Year],0),HLOOKUP(SMR!$E$8&amp;" - Gas",'Fuel Data'!$BB$2:$BX$3,2,FALSE)+1))))</f>
        <v/>
      </c>
      <c r="E37" s="426" t="str" cm="1">
        <f t="array" ref="E37">IF(B37=SMR!$E$9,"",IF(B37&lt;SMR!$E$9,"",IF(B37&gt;SMR!$D$30+SMR!$E$9,"",INDEX(Tb_Fuel[],MATCH(B37,Tb_Fuel[Year],0),HLOOKUP(SMR!$E$8&amp;" - CO2 price",'Fuel Data'!$BB$2:$BX$3,2,FALSE)+1))))</f>
        <v/>
      </c>
      <c r="F37" s="426" t="str" cm="1">
        <f t="array" ref="F37">IF(B37=SMR!$E$9,"",IF(B37&lt;SMR!$E$9,"",IF(B37&gt;SMR!$D$30+SMR!$E$9,"",INDEX(Tb_Fuel[],MATCH(B37,Tb_Fuel[Year],0),HLOOKUP(SMR!$E$8&amp;" - Feed-in electricity price",'Fuel Data'!$BB$2:$BX$3,2,FALSE)+1))))</f>
        <v/>
      </c>
      <c r="G37" s="426" t="str">
        <f>IF(B37=SMR!$E$9,SMR!$D$48,IF(B37&lt;SMR!$E$9,"",IF(B37&gt;SMR!$D$30+SMR!$E$9,"",0)))</f>
        <v/>
      </c>
      <c r="H37" s="426" t="str">
        <f>IF(B37=SMR!$E$9,0,IF(B37&lt;SMR!$E$9,"",IF(B37&gt;SMR!$D$30+SMR!$E$9,"",SMR!$D$48*SMR!$D$29)))</f>
        <v/>
      </c>
      <c r="I37" s="426" t="str">
        <f>IF($B37=SMR!$E$9,0,IF($B37&lt;SMR!$E$9,"",IF($B37&gt;SMR!$D$30+SMR!$E$9,"",IF(ISBLANK(SMR!$C$39),(D37*'General values'!$B$26/'General values'!$C$3)*SMR!$D$32*8760*(SMR!$D$34+SMR!$D$35),(SMR!$D$39*'General values'!$B$26/'General values'!$C$3)*SMR!$D$32*8760*(SMR!$D$34+SMR!$D$35)))))</f>
        <v/>
      </c>
      <c r="J37" s="426" t="str">
        <f>IF($B37=SMR!$E$9,0,IF($B37&lt;SMR!$E$9,"",IF($B37&gt;SMR!$D$30+SMR!$E$9,"",SMR!$D$41*SMR!$D$55*SMR!$D$44*SMR!$D$60)))</f>
        <v/>
      </c>
      <c r="K37" s="426" t="str">
        <f>IF($B37=SMR!$E$9,0,IF($B37&lt;SMR!$E$9,"",IF($B37&gt;SMR!$D$30+SMR!$E$9,"",IF(ISBLANK(SMR!$C$42),E37*(1-SMR!$D$44)*SMR!$D$55*SMR!$D$60,SMR!$D$42*(1-SMR!$D$44)*SMR!$D$55*SMR!$D$60))))</f>
        <v/>
      </c>
      <c r="L37" s="426" t="str">
        <f>IF($B37=SMR!$E$9,0,IF($B37&lt;SMR!$E$9,"",IF($B37&gt;SMR!$D$30+SMR!$E$9,"",IF(ISBLANK(SMR!$C$40),-F37*S37*SMR!$D$37,-SMR!$C$40*S37*SMR!$D$37))))</f>
        <v/>
      </c>
      <c r="M37" s="426" t="str">
        <f>IF($B37=SMR!$E$9,SUM(G37:L37),IF($B37&lt;SMR!$E$9,"",IF($B37&gt;SMR!$D$30+SMR!$E$9,"",SUM(G37:L37))))</f>
        <v/>
      </c>
      <c r="N37" s="426" t="str">
        <f>IF($B37=SMR!$E$9,I37/(1+SMR!$D$31)^'CFA SMR'!C37,IF($B37&lt;SMR!$E$9,"",IF($B37&gt;SMR!$D$30+SMR!$E$9,"",I37/(1+SMR!$D$31)^'CFA SMR'!C37)))</f>
        <v/>
      </c>
      <c r="O37" s="426" t="str">
        <f>IF($B37=SMR!$E$9,J37/(1+SMR!$D$31)^'CFA SMR'!C37,IF($B37&lt;SMR!$E$9,"",IF($B37&gt;SMR!$D$30+SMR!$E$9,"",J37/(1+SMR!$D$31)^'CFA SMR'!C37)))</f>
        <v/>
      </c>
      <c r="P37" s="426" t="str">
        <f>IF($B37=SMR!$E$9,K37/(1+SMR!$D$31)^'CFA SMR'!C37,IF($B37&lt;SMR!$E$9,"",IF($B37&gt;SMR!$D$30+SMR!$E$9,"",K37/(1+SMR!$D$31)^'CFA SMR'!C37)))</f>
        <v/>
      </c>
      <c r="Q37" s="426" t="str">
        <f>IF($B37=SMR!$E$9,L37/(1+SMR!$D$31)^'CFA SMR'!C37,IF($B37&lt;SMR!$E$9,"",IF($B37&gt;SMR!$D$30+SMR!$E$9,"",L37/(1+SMR!$D$31)^'CFA SMR'!C37)))</f>
        <v/>
      </c>
      <c r="R37" s="426" t="str">
        <f>IF($B37=SMR!$E$9,M37/(1+SMR!$D$31)^'CFA SMR'!C37,IF($B37&lt;SMR!$E$9,"",IF($B37&gt;SMR!$D$30+SMR!$E$9,"",M37/(1+SMR!$D$31)^'CFA SMR'!C37)))</f>
        <v/>
      </c>
      <c r="S37" s="429" t="str">
        <f>IF($B37=SMR!$E$9,0,IF($B37&lt;SMR!$E$9,"",IF($B37&gt;SMR!$D$30+SMR!$E$9,"",SMR!$D$60)))</f>
        <v/>
      </c>
      <c r="T37" s="430" t="str">
        <f>IF($B37=SMR!$E$9,S37/(1+SMR!$D$31)^'CFA SMR'!C37,IF($B37&lt;SMR!$E$9,"",IF($B37&gt;SMR!$D$30+SMR!$E$9,"",S37/(1+SMR!$D$31)^'CFA SMR'!C37)))</f>
        <v/>
      </c>
    </row>
    <row r="38" spans="2:20">
      <c r="B38" s="424">
        <v>2056</v>
      </c>
      <c r="C38" s="431" t="str">
        <f>IF($B38=SMR!$E$9,B38-HOME!$A$9,IF($B38&lt;SMR!$E$9,"",IF($B38&gt;SMR!$D$30+SMR!$E$9,"",B38-HOME!$A$9)))</f>
        <v/>
      </c>
      <c r="D38" s="426" t="str" cm="1">
        <f t="array" ref="D38">IF(B38=SMR!$E$9,"",IF(B38&lt;SMR!$E$9,"",IF(B38&gt;SMR!$D$30+SMR!$E$9,"",INDEX(Tb_Fuel[],MATCH(B38,Tb_Fuel[Year],0),HLOOKUP(SMR!$E$8&amp;" - Gas",'Fuel Data'!$BB$2:$BX$3,2,FALSE)+1))))</f>
        <v/>
      </c>
      <c r="E38" s="426" t="str" cm="1">
        <f t="array" ref="E38">IF(B38=SMR!$E$9,"",IF(B38&lt;SMR!$E$9,"",IF(B38&gt;SMR!$D$30+SMR!$E$9,"",INDEX(Tb_Fuel[],MATCH(B38,Tb_Fuel[Year],0),HLOOKUP(SMR!$E$8&amp;" - CO2 price",'Fuel Data'!$BB$2:$BX$3,2,FALSE)+1))))</f>
        <v/>
      </c>
      <c r="F38" s="426" t="str" cm="1">
        <f t="array" ref="F38">IF(B38=SMR!$E$9,"",IF(B38&lt;SMR!$E$9,"",IF(B38&gt;SMR!$D$30+SMR!$E$9,"",INDEX(Tb_Fuel[],MATCH(B38,Tb_Fuel[Year],0),HLOOKUP(SMR!$E$8&amp;" - Feed-in electricity price",'Fuel Data'!$BB$2:$BX$3,2,FALSE)+1))))</f>
        <v/>
      </c>
      <c r="G38" s="426" t="str">
        <f>IF(B38=SMR!$E$9,SMR!$D$48,IF(B38&lt;SMR!$E$9,"",IF(B38&gt;SMR!$D$30+SMR!$E$9,"",0)))</f>
        <v/>
      </c>
      <c r="H38" s="426" t="str">
        <f>IF(B38=SMR!$E$9,0,IF(B38&lt;SMR!$E$9,"",IF(B38&gt;SMR!$D$30+SMR!$E$9,"",SMR!$D$48*SMR!$D$29)))</f>
        <v/>
      </c>
      <c r="I38" s="426" t="str">
        <f>IF($B38=SMR!$E$9,0,IF($B38&lt;SMR!$E$9,"",IF($B38&gt;SMR!$D$30+SMR!$E$9,"",IF(ISBLANK(SMR!$C$39),(D38*'General values'!$B$26/'General values'!$C$3)*SMR!$D$32*8760*(SMR!$D$34+SMR!$D$35),(SMR!$D$39*'General values'!$B$26/'General values'!$C$3)*SMR!$D$32*8760*(SMR!$D$34+SMR!$D$35)))))</f>
        <v/>
      </c>
      <c r="J38" s="426" t="str">
        <f>IF($B38=SMR!$E$9,0,IF($B38&lt;SMR!$E$9,"",IF($B38&gt;SMR!$D$30+SMR!$E$9,"",SMR!$D$41*SMR!$D$55*SMR!$D$44*SMR!$D$60)))</f>
        <v/>
      </c>
      <c r="K38" s="426" t="str">
        <f>IF($B38=SMR!$E$9,0,IF($B38&lt;SMR!$E$9,"",IF($B38&gt;SMR!$D$30+SMR!$E$9,"",IF(ISBLANK(SMR!$C$42),E38*(1-SMR!$D$44)*SMR!$D$55*SMR!$D$60,SMR!$D$42*(1-SMR!$D$44)*SMR!$D$55*SMR!$D$60))))</f>
        <v/>
      </c>
      <c r="L38" s="426" t="str">
        <f>IF($B38=SMR!$E$9,0,IF($B38&lt;SMR!$E$9,"",IF($B38&gt;SMR!$D$30+SMR!$E$9,"",IF(ISBLANK(SMR!$C$40),-F38*S38*SMR!$D$37,-SMR!$C$40*S38*SMR!$D$37))))</f>
        <v/>
      </c>
      <c r="M38" s="426" t="str">
        <f>IF($B38=SMR!$E$9,SUM(G38:L38),IF($B38&lt;SMR!$E$9,"",IF($B38&gt;SMR!$D$30+SMR!$E$9,"",SUM(G38:L38))))</f>
        <v/>
      </c>
      <c r="N38" s="426" t="str">
        <f>IF($B38=SMR!$E$9,I38/(1+SMR!$D$31)^'CFA SMR'!C38,IF($B38&lt;SMR!$E$9,"",IF($B38&gt;SMR!$D$30+SMR!$E$9,"",I38/(1+SMR!$D$31)^'CFA SMR'!C38)))</f>
        <v/>
      </c>
      <c r="O38" s="426" t="str">
        <f>IF($B38=SMR!$E$9,J38/(1+SMR!$D$31)^'CFA SMR'!C38,IF($B38&lt;SMR!$E$9,"",IF($B38&gt;SMR!$D$30+SMR!$E$9,"",J38/(1+SMR!$D$31)^'CFA SMR'!C38)))</f>
        <v/>
      </c>
      <c r="P38" s="426" t="str">
        <f>IF($B38=SMR!$E$9,K38/(1+SMR!$D$31)^'CFA SMR'!C38,IF($B38&lt;SMR!$E$9,"",IF($B38&gt;SMR!$D$30+SMR!$E$9,"",K38/(1+SMR!$D$31)^'CFA SMR'!C38)))</f>
        <v/>
      </c>
      <c r="Q38" s="426" t="str">
        <f>IF($B38=SMR!$E$9,L38/(1+SMR!$D$31)^'CFA SMR'!C38,IF($B38&lt;SMR!$E$9,"",IF($B38&gt;SMR!$D$30+SMR!$E$9,"",L38/(1+SMR!$D$31)^'CFA SMR'!C38)))</f>
        <v/>
      </c>
      <c r="R38" s="426" t="str">
        <f>IF($B38=SMR!$E$9,M38/(1+SMR!$D$31)^'CFA SMR'!C38,IF($B38&lt;SMR!$E$9,"",IF($B38&gt;SMR!$D$30+SMR!$E$9,"",M38/(1+SMR!$D$31)^'CFA SMR'!C38)))</f>
        <v/>
      </c>
      <c r="S38" s="429" t="str">
        <f>IF($B38=SMR!$E$9,0,IF($B38&lt;SMR!$E$9,"",IF($B38&gt;SMR!$D$30+SMR!$E$9,"",SMR!$D$60)))</f>
        <v/>
      </c>
      <c r="T38" s="430" t="str">
        <f>IF($B38=SMR!$E$9,S38/(1+SMR!$D$31)^'CFA SMR'!C38,IF($B38&lt;SMR!$E$9,"",IF($B38&gt;SMR!$D$30+SMR!$E$9,"",S38/(1+SMR!$D$31)^'CFA SMR'!C38)))</f>
        <v/>
      </c>
    </row>
    <row r="39" spans="2:20">
      <c r="B39" s="424">
        <v>2057</v>
      </c>
      <c r="C39" s="431" t="str">
        <f>IF($B39=SMR!$E$9,B39-HOME!$A$9,IF($B39&lt;SMR!$E$9,"",IF($B39&gt;SMR!$D$30+SMR!$E$9,"",B39-HOME!$A$9)))</f>
        <v/>
      </c>
      <c r="D39" s="426" t="str" cm="1">
        <f t="array" ref="D39">IF(B39=SMR!$E$9,"",IF(B39&lt;SMR!$E$9,"",IF(B39&gt;SMR!$D$30+SMR!$E$9,"",INDEX(Tb_Fuel[],MATCH(B39,Tb_Fuel[Year],0),HLOOKUP(SMR!$E$8&amp;" - Gas",'Fuel Data'!$BB$2:$BX$3,2,FALSE)+1))))</f>
        <v/>
      </c>
      <c r="E39" s="426" t="str" cm="1">
        <f t="array" ref="E39">IF(B39=SMR!$E$9,"",IF(B39&lt;SMR!$E$9,"",IF(B39&gt;SMR!$D$30+SMR!$E$9,"",INDEX(Tb_Fuel[],MATCH(B39,Tb_Fuel[Year],0),HLOOKUP(SMR!$E$8&amp;" - CO2 price",'Fuel Data'!$BB$2:$BX$3,2,FALSE)+1))))</f>
        <v/>
      </c>
      <c r="F39" s="426" t="str" cm="1">
        <f t="array" ref="F39">IF(B39=SMR!$E$9,"",IF(B39&lt;SMR!$E$9,"",IF(B39&gt;SMR!$D$30+SMR!$E$9,"",INDEX(Tb_Fuel[],MATCH(B39,Tb_Fuel[Year],0),HLOOKUP(SMR!$E$8&amp;" - Feed-in electricity price",'Fuel Data'!$BB$2:$BX$3,2,FALSE)+1))))</f>
        <v/>
      </c>
      <c r="G39" s="426" t="str">
        <f>IF(B39=SMR!$E$9,SMR!$D$48,IF(B39&lt;SMR!$E$9,"",IF(B39&gt;SMR!$D$30+SMR!$E$9,"",0)))</f>
        <v/>
      </c>
      <c r="H39" s="426" t="str">
        <f>IF(B39=SMR!$E$9,0,IF(B39&lt;SMR!$E$9,"",IF(B39&gt;SMR!$D$30+SMR!$E$9,"",SMR!$D$48*SMR!$D$29)))</f>
        <v/>
      </c>
      <c r="I39" s="426" t="str">
        <f>IF($B39=SMR!$E$9,0,IF($B39&lt;SMR!$E$9,"",IF($B39&gt;SMR!$D$30+SMR!$E$9,"",IF(ISBLANK(SMR!$C$39),(D39*'General values'!$B$26/'General values'!$C$3)*SMR!$D$32*8760*(SMR!$D$34+SMR!$D$35),(SMR!$D$39*'General values'!$B$26/'General values'!$C$3)*SMR!$D$32*8760*(SMR!$D$34+SMR!$D$35)))))</f>
        <v/>
      </c>
      <c r="J39" s="426" t="str">
        <f>IF($B39=SMR!$E$9,0,IF($B39&lt;SMR!$E$9,"",IF($B39&gt;SMR!$D$30+SMR!$E$9,"",SMR!$D$41*SMR!$D$55*SMR!$D$44*SMR!$D$60)))</f>
        <v/>
      </c>
      <c r="K39" s="426" t="str">
        <f>IF($B39=SMR!$E$9,0,IF($B39&lt;SMR!$E$9,"",IF($B39&gt;SMR!$D$30+SMR!$E$9,"",IF(ISBLANK(SMR!$C$42),E39*(1-SMR!$D$44)*SMR!$D$55*SMR!$D$60,SMR!$D$42*(1-SMR!$D$44)*SMR!$D$55*SMR!$D$60))))</f>
        <v/>
      </c>
      <c r="L39" s="426" t="str">
        <f>IF($B39=SMR!$E$9,0,IF($B39&lt;SMR!$E$9,"",IF($B39&gt;SMR!$D$30+SMR!$E$9,"",IF(ISBLANK(SMR!$C$40),-F39*S39*SMR!$D$37,-SMR!$C$40*S39*SMR!$D$37))))</f>
        <v/>
      </c>
      <c r="M39" s="426" t="str">
        <f>IF($B39=SMR!$E$9,SUM(G39:L39),IF($B39&lt;SMR!$E$9,"",IF($B39&gt;SMR!$D$30+SMR!$E$9,"",SUM(G39:L39))))</f>
        <v/>
      </c>
      <c r="N39" s="426" t="str">
        <f>IF($B39=SMR!$E$9,I39/(1+SMR!$D$31)^'CFA SMR'!C39,IF($B39&lt;SMR!$E$9,"",IF($B39&gt;SMR!$D$30+SMR!$E$9,"",I39/(1+SMR!$D$31)^'CFA SMR'!C39)))</f>
        <v/>
      </c>
      <c r="O39" s="426" t="str">
        <f>IF($B39=SMR!$E$9,J39/(1+SMR!$D$31)^'CFA SMR'!C39,IF($B39&lt;SMR!$E$9,"",IF($B39&gt;SMR!$D$30+SMR!$E$9,"",J39/(1+SMR!$D$31)^'CFA SMR'!C39)))</f>
        <v/>
      </c>
      <c r="P39" s="426" t="str">
        <f>IF($B39=SMR!$E$9,K39/(1+SMR!$D$31)^'CFA SMR'!C39,IF($B39&lt;SMR!$E$9,"",IF($B39&gt;SMR!$D$30+SMR!$E$9,"",K39/(1+SMR!$D$31)^'CFA SMR'!C39)))</f>
        <v/>
      </c>
      <c r="Q39" s="426" t="str">
        <f>IF($B39=SMR!$E$9,L39/(1+SMR!$D$31)^'CFA SMR'!C39,IF($B39&lt;SMR!$E$9,"",IF($B39&gt;SMR!$D$30+SMR!$E$9,"",L39/(1+SMR!$D$31)^'CFA SMR'!C39)))</f>
        <v/>
      </c>
      <c r="R39" s="426" t="str">
        <f>IF($B39=SMR!$E$9,M39/(1+SMR!$D$31)^'CFA SMR'!C39,IF($B39&lt;SMR!$E$9,"",IF($B39&gt;SMR!$D$30+SMR!$E$9,"",M39/(1+SMR!$D$31)^'CFA SMR'!C39)))</f>
        <v/>
      </c>
      <c r="S39" s="429" t="str">
        <f>IF($B39=SMR!$E$9,0,IF($B39&lt;SMR!$E$9,"",IF($B39&gt;SMR!$D$30+SMR!$E$9,"",SMR!$D$60)))</f>
        <v/>
      </c>
      <c r="T39" s="430" t="str">
        <f>IF($B39=SMR!$E$9,S39/(1+SMR!$D$31)^'CFA SMR'!C39,IF($B39&lt;SMR!$E$9,"",IF($B39&gt;SMR!$D$30+SMR!$E$9,"",S39/(1+SMR!$D$31)^'CFA SMR'!C39)))</f>
        <v/>
      </c>
    </row>
    <row r="40" spans="2:20">
      <c r="B40" s="424">
        <v>2058</v>
      </c>
      <c r="C40" s="431" t="str">
        <f>IF($B40=SMR!$E$9,B40-HOME!$A$9,IF($B40&lt;SMR!$E$9,"",IF($B40&gt;SMR!$D$30+SMR!$E$9,"",B40-HOME!$A$9)))</f>
        <v/>
      </c>
      <c r="D40" s="426" t="str" cm="1">
        <f t="array" ref="D40">IF(B40=SMR!$E$9,"",IF(B40&lt;SMR!$E$9,"",IF(B40&gt;SMR!$D$30+SMR!$E$9,"",INDEX(Tb_Fuel[],MATCH(B40,Tb_Fuel[Year],0),HLOOKUP(SMR!$E$8&amp;" - Gas",'Fuel Data'!$BB$2:$BX$3,2,FALSE)+1))))</f>
        <v/>
      </c>
      <c r="E40" s="426" t="str" cm="1">
        <f t="array" ref="E40">IF(B40=SMR!$E$9,"",IF(B40&lt;SMR!$E$9,"",IF(B40&gt;SMR!$D$30+SMR!$E$9,"",INDEX(Tb_Fuel[],MATCH(B40,Tb_Fuel[Year],0),HLOOKUP(SMR!$E$8&amp;" - CO2 price",'Fuel Data'!$BB$2:$BX$3,2,FALSE)+1))))</f>
        <v/>
      </c>
      <c r="F40" s="426" t="str" cm="1">
        <f t="array" ref="F40">IF(B40=SMR!$E$9,"",IF(B40&lt;SMR!$E$9,"",IF(B40&gt;SMR!$D$30+SMR!$E$9,"",INDEX(Tb_Fuel[],MATCH(B40,Tb_Fuel[Year],0),HLOOKUP(SMR!$E$8&amp;" - Feed-in electricity price",'Fuel Data'!$BB$2:$BX$3,2,FALSE)+1))))</f>
        <v/>
      </c>
      <c r="G40" s="426" t="str">
        <f>IF(B40=SMR!$E$9,SMR!$D$48,IF(B40&lt;SMR!$E$9,"",IF(B40&gt;SMR!$D$30+SMR!$E$9,"",0)))</f>
        <v/>
      </c>
      <c r="H40" s="426" t="str">
        <f>IF(B40=SMR!$E$9,0,IF(B40&lt;SMR!$E$9,"",IF(B40&gt;SMR!$D$30+SMR!$E$9,"",SMR!$D$48*SMR!$D$29)))</f>
        <v/>
      </c>
      <c r="I40" s="426" t="str">
        <f>IF($B40=SMR!$E$9,0,IF($B40&lt;SMR!$E$9,"",IF($B40&gt;SMR!$D$30+SMR!$E$9,"",IF(ISBLANK(SMR!$C$39),(D40*'General values'!$B$26/'General values'!$C$3)*SMR!$D$32*8760*(SMR!$D$34+SMR!$D$35),(SMR!$D$39*'General values'!$B$26/'General values'!$C$3)*SMR!$D$32*8760*(SMR!$D$34+SMR!$D$35)))))</f>
        <v/>
      </c>
      <c r="J40" s="426" t="str">
        <f>IF($B40=SMR!$E$9,0,IF($B40&lt;SMR!$E$9,"",IF($B40&gt;SMR!$D$30+SMR!$E$9,"",SMR!$D$41*SMR!$D$55*SMR!$D$44*SMR!$D$60)))</f>
        <v/>
      </c>
      <c r="K40" s="426" t="str">
        <f>IF($B40=SMR!$E$9,0,IF($B40&lt;SMR!$E$9,"",IF($B40&gt;SMR!$D$30+SMR!$E$9,"",IF(ISBLANK(SMR!$C$42),E40*(1-SMR!$D$44)*SMR!$D$55*SMR!$D$60,SMR!$D$42*(1-SMR!$D$44)*SMR!$D$55*SMR!$D$60))))</f>
        <v/>
      </c>
      <c r="L40" s="426" t="str">
        <f>IF($B40=SMR!$E$9,0,IF($B40&lt;SMR!$E$9,"",IF($B40&gt;SMR!$D$30+SMR!$E$9,"",IF(ISBLANK(SMR!$C$40),-F40*S40*SMR!$D$37,-SMR!$C$40*S40*SMR!$D$37))))</f>
        <v/>
      </c>
      <c r="M40" s="426" t="str">
        <f>IF($B40=SMR!$E$9,SUM(G40:L40),IF($B40&lt;SMR!$E$9,"",IF($B40&gt;SMR!$D$30+SMR!$E$9,"",SUM(G40:L40))))</f>
        <v/>
      </c>
      <c r="N40" s="426" t="str">
        <f>IF($B40=SMR!$E$9,I40/(1+SMR!$D$31)^'CFA SMR'!C40,IF($B40&lt;SMR!$E$9,"",IF($B40&gt;SMR!$D$30+SMR!$E$9,"",I40/(1+SMR!$D$31)^'CFA SMR'!C40)))</f>
        <v/>
      </c>
      <c r="O40" s="426" t="str">
        <f>IF($B40=SMR!$E$9,J40/(1+SMR!$D$31)^'CFA SMR'!C40,IF($B40&lt;SMR!$E$9,"",IF($B40&gt;SMR!$D$30+SMR!$E$9,"",J40/(1+SMR!$D$31)^'CFA SMR'!C40)))</f>
        <v/>
      </c>
      <c r="P40" s="426" t="str">
        <f>IF($B40=SMR!$E$9,K40/(1+SMR!$D$31)^'CFA SMR'!C40,IF($B40&lt;SMR!$E$9,"",IF($B40&gt;SMR!$D$30+SMR!$E$9,"",K40/(1+SMR!$D$31)^'CFA SMR'!C40)))</f>
        <v/>
      </c>
      <c r="Q40" s="426" t="str">
        <f>IF($B40=SMR!$E$9,L40/(1+SMR!$D$31)^'CFA SMR'!C40,IF($B40&lt;SMR!$E$9,"",IF($B40&gt;SMR!$D$30+SMR!$E$9,"",L40/(1+SMR!$D$31)^'CFA SMR'!C40)))</f>
        <v/>
      </c>
      <c r="R40" s="426" t="str">
        <f>IF($B40=SMR!$E$9,M40/(1+SMR!$D$31)^'CFA SMR'!C40,IF($B40&lt;SMR!$E$9,"",IF($B40&gt;SMR!$D$30+SMR!$E$9,"",M40/(1+SMR!$D$31)^'CFA SMR'!C40)))</f>
        <v/>
      </c>
      <c r="S40" s="429" t="str">
        <f>IF($B40=SMR!$E$9,0,IF($B40&lt;SMR!$E$9,"",IF($B40&gt;SMR!$D$30+SMR!$E$9,"",SMR!$D$60)))</f>
        <v/>
      </c>
      <c r="T40" s="430" t="str">
        <f>IF($B40=SMR!$E$9,S40/(1+SMR!$D$31)^'CFA SMR'!C40,IF($B40&lt;SMR!$E$9,"",IF($B40&gt;SMR!$D$30+SMR!$E$9,"",S40/(1+SMR!$D$31)^'CFA SMR'!C40)))</f>
        <v/>
      </c>
    </row>
    <row r="41" spans="2:20">
      <c r="B41" s="424">
        <v>2059</v>
      </c>
      <c r="C41" s="431" t="str">
        <f>IF($B41=SMR!$E$9,B41-HOME!$A$9,IF($B41&lt;SMR!$E$9,"",IF($B41&gt;SMR!$D$30+SMR!$E$9,"",B41-HOME!$A$9)))</f>
        <v/>
      </c>
      <c r="D41" s="426" t="str" cm="1">
        <f t="array" ref="D41">IF(B41=SMR!$E$9,"",IF(B41&lt;SMR!$E$9,"",IF(B41&gt;SMR!$D$30+SMR!$E$9,"",INDEX(Tb_Fuel[],MATCH(B41,Tb_Fuel[Year],0),HLOOKUP(SMR!$E$8&amp;" - Gas",'Fuel Data'!$BB$2:$BX$3,2,FALSE)+1))))</f>
        <v/>
      </c>
      <c r="E41" s="426" t="str" cm="1">
        <f t="array" ref="E41">IF(B41=SMR!$E$9,"",IF(B41&lt;SMR!$E$9,"",IF(B41&gt;SMR!$D$30+SMR!$E$9,"",INDEX(Tb_Fuel[],MATCH(B41,Tb_Fuel[Year],0),HLOOKUP(SMR!$E$8&amp;" - CO2 price",'Fuel Data'!$BB$2:$BX$3,2,FALSE)+1))))</f>
        <v/>
      </c>
      <c r="F41" s="426" t="str" cm="1">
        <f t="array" ref="F41">IF(B41=SMR!$E$9,"",IF(B41&lt;SMR!$E$9,"",IF(B41&gt;SMR!$D$30+SMR!$E$9,"",INDEX(Tb_Fuel[],MATCH(B41,Tb_Fuel[Year],0),HLOOKUP(SMR!$E$8&amp;" - Feed-in electricity price",'Fuel Data'!$BB$2:$BX$3,2,FALSE)+1))))</f>
        <v/>
      </c>
      <c r="G41" s="426" t="str">
        <f>IF(B41=SMR!$E$9,SMR!$D$48,IF(B41&lt;SMR!$E$9,"",IF(B41&gt;SMR!$D$30+SMR!$E$9,"",0)))</f>
        <v/>
      </c>
      <c r="H41" s="426" t="str">
        <f>IF(B41=SMR!$E$9,0,IF(B41&lt;SMR!$E$9,"",IF(B41&gt;SMR!$D$30+SMR!$E$9,"",SMR!$D$48*SMR!$D$29)))</f>
        <v/>
      </c>
      <c r="I41" s="426" t="str">
        <f>IF($B41=SMR!$E$9,0,IF($B41&lt;SMR!$E$9,"",IF($B41&gt;SMR!$D$30+SMR!$E$9,"",IF(ISBLANK(SMR!$C$39),(D41*'General values'!$B$26/'General values'!$C$3)*SMR!$D$32*8760*(SMR!$D$34+SMR!$D$35),(SMR!$D$39*'General values'!$B$26/'General values'!$C$3)*SMR!$D$32*8760*(SMR!$D$34+SMR!$D$35)))))</f>
        <v/>
      </c>
      <c r="J41" s="426" t="str">
        <f>IF($B41=SMR!$E$9,0,IF($B41&lt;SMR!$E$9,"",IF($B41&gt;SMR!$D$30+SMR!$E$9,"",SMR!$D$41*SMR!$D$55*SMR!$D$44*SMR!$D$60)))</f>
        <v/>
      </c>
      <c r="K41" s="426" t="str">
        <f>IF($B41=SMR!$E$9,0,IF($B41&lt;SMR!$E$9,"",IF($B41&gt;SMR!$D$30+SMR!$E$9,"",IF(ISBLANK(SMR!$C$42),E41*(1-SMR!$D$44)*SMR!$D$55*SMR!$D$60,SMR!$D$42*(1-SMR!$D$44)*SMR!$D$55*SMR!$D$60))))</f>
        <v/>
      </c>
      <c r="L41" s="426" t="str">
        <f>IF($B41=SMR!$E$9,0,IF($B41&lt;SMR!$E$9,"",IF($B41&gt;SMR!$D$30+SMR!$E$9,"",IF(ISBLANK(SMR!$C$40),-F41*S41*SMR!$D$37,-SMR!$C$40*S41*SMR!$D$37))))</f>
        <v/>
      </c>
      <c r="M41" s="426" t="str">
        <f>IF($B41=SMR!$E$9,SUM(G41:L41),IF($B41&lt;SMR!$E$9,"",IF($B41&gt;SMR!$D$30+SMR!$E$9,"",SUM(G41:L41))))</f>
        <v/>
      </c>
      <c r="N41" s="426" t="str">
        <f>IF($B41=SMR!$E$9,I41/(1+SMR!$D$31)^'CFA SMR'!C41,IF($B41&lt;SMR!$E$9,"",IF($B41&gt;SMR!$D$30+SMR!$E$9,"",I41/(1+SMR!$D$31)^'CFA SMR'!C41)))</f>
        <v/>
      </c>
      <c r="O41" s="426" t="str">
        <f>IF($B41=SMR!$E$9,J41/(1+SMR!$D$31)^'CFA SMR'!C41,IF($B41&lt;SMR!$E$9,"",IF($B41&gt;SMR!$D$30+SMR!$E$9,"",J41/(1+SMR!$D$31)^'CFA SMR'!C41)))</f>
        <v/>
      </c>
      <c r="P41" s="426" t="str">
        <f>IF($B41=SMR!$E$9,K41/(1+SMR!$D$31)^'CFA SMR'!C41,IF($B41&lt;SMR!$E$9,"",IF($B41&gt;SMR!$D$30+SMR!$E$9,"",K41/(1+SMR!$D$31)^'CFA SMR'!C41)))</f>
        <v/>
      </c>
      <c r="Q41" s="426" t="str">
        <f>IF($B41=SMR!$E$9,L41/(1+SMR!$D$31)^'CFA SMR'!C41,IF($B41&lt;SMR!$E$9,"",IF($B41&gt;SMR!$D$30+SMR!$E$9,"",L41/(1+SMR!$D$31)^'CFA SMR'!C41)))</f>
        <v/>
      </c>
      <c r="R41" s="426" t="str">
        <f>IF($B41=SMR!$E$9,M41/(1+SMR!$D$31)^'CFA SMR'!C41,IF($B41&lt;SMR!$E$9,"",IF($B41&gt;SMR!$D$30+SMR!$E$9,"",M41/(1+SMR!$D$31)^'CFA SMR'!C41)))</f>
        <v/>
      </c>
      <c r="S41" s="429" t="str">
        <f>IF($B41=SMR!$E$9,0,IF($B41&lt;SMR!$E$9,"",IF($B41&gt;SMR!$D$30+SMR!$E$9,"",SMR!$D$60)))</f>
        <v/>
      </c>
      <c r="T41" s="430" t="str">
        <f>IF($B41=SMR!$E$9,S41/(1+SMR!$D$31)^'CFA SMR'!C41,IF($B41&lt;SMR!$E$9,"",IF($B41&gt;SMR!$D$30+SMR!$E$9,"",S41/(1+SMR!$D$31)^'CFA SMR'!C41)))</f>
        <v/>
      </c>
    </row>
    <row r="42" spans="2:20" ht="17" thickBot="1">
      <c r="B42" s="432">
        <v>2060</v>
      </c>
      <c r="C42" s="433" t="str">
        <f>IF($B42=SMR!$E$9,B42-HOME!$A$9,IF($B42&lt;SMR!$E$9,"",IF($B42&gt;SMR!$D$30+SMR!$E$9,"",B42-HOME!$A$9)))</f>
        <v/>
      </c>
      <c r="D42" s="434" t="str" cm="1">
        <f t="array" ref="D42">IF(B42=SMR!$E$9,"",IF(B42&lt;SMR!$E$9,"",IF(B42&gt;SMR!$D$30+SMR!$E$9,"",INDEX(Tb_Fuel[],MATCH(B42,Tb_Fuel[Year],0),HLOOKUP(SMR!$E$8&amp;" - Gas",'Fuel Data'!$BB$2:$BX$3,2,FALSE)+1))))</f>
        <v/>
      </c>
      <c r="E42" s="434" t="str" cm="1">
        <f t="array" ref="E42">IF(B42=SMR!$E$9,"",IF(B42&lt;SMR!$E$9,"",IF(B42&gt;SMR!$D$30+SMR!$E$9,"",INDEX(Tb_Fuel[],MATCH(B42,Tb_Fuel[Year],0),HLOOKUP(SMR!$E$8&amp;" - CO2 price",'Fuel Data'!$BB$2:$BX$3,2,FALSE)+1))))</f>
        <v/>
      </c>
      <c r="F42" s="434" t="str" cm="1">
        <f t="array" ref="F42">IF(B42=SMR!$E$9,"",IF(B42&lt;SMR!$E$9,"",IF(B42&gt;SMR!$D$30+SMR!$E$9,"",INDEX(Tb_Fuel[],MATCH(B42,Tb_Fuel[Year],0),HLOOKUP(SMR!$E$8&amp;" - Feed-in electricity price",'Fuel Data'!$BB$2:$BX$3,2,FALSE)+1))))</f>
        <v/>
      </c>
      <c r="G42" s="434" t="str">
        <f>IF(B42=SMR!$E$9,SMR!$D$48,IF(B42&lt;SMR!$E$9,"",IF(B42&gt;SMR!$D$30+SMR!$E$9,"",0)))</f>
        <v/>
      </c>
      <c r="H42" s="434" t="str">
        <f>IF(B42=SMR!$E$9,0,IF(B42&lt;SMR!$E$9,"",IF(B42&gt;SMR!$D$30+SMR!$E$9,"",SMR!$D$48*SMR!$D$29)))</f>
        <v/>
      </c>
      <c r="I42" s="434" t="str">
        <f>IF($B42=SMR!$E$9,0,IF($B42&lt;SMR!$E$9,"",IF($B42&gt;SMR!$D$30+SMR!$E$9,"",IF(ISBLANK(SMR!$C$39),(D42*'General values'!$B$26/'General values'!$C$3)*SMR!$D$32*8760*(SMR!$D$34+SMR!$D$35),(SMR!$D$39*'General values'!$B$26/'General values'!$C$3)*SMR!$D$32*8760*(SMR!$D$34+SMR!$D$35)))))</f>
        <v/>
      </c>
      <c r="J42" s="434" t="str">
        <f>IF($B42=SMR!$E$9,0,IF($B42&lt;SMR!$E$9,"",IF($B42&gt;SMR!$D$30+SMR!$E$9,"",SMR!$D$41*SMR!$D$55*SMR!$D$44*SMR!$D$60)))</f>
        <v/>
      </c>
      <c r="K42" s="434" t="str">
        <f>IF($B42=SMR!$E$9,0,IF($B42&lt;SMR!$E$9,"",IF($B42&gt;SMR!$D$30+SMR!$E$9,"",IF(ISBLANK(SMR!$C$42),E42*(1-SMR!$D$44)*SMR!$D$55*SMR!$D$60,SMR!$D$42*(1-SMR!$D$44)*SMR!$D$55*SMR!$D$60))))</f>
        <v/>
      </c>
      <c r="L42" s="434" t="str">
        <f>IF($B42=SMR!$E$9,0,IF($B42&lt;SMR!$E$9,"",IF($B42&gt;SMR!$D$30+SMR!$E$9,"",IF(ISBLANK(SMR!$C$40),-F42*S42*SMR!$D$37,-SMR!$C$40*S42*SMR!$D$37))))</f>
        <v/>
      </c>
      <c r="M42" s="434" t="str">
        <f>IF($B42=SMR!$E$9,SUM(G42:L42),IF($B42&lt;SMR!$E$9,"",IF($B42&gt;SMR!$D$30+SMR!$E$9,"",SUM(G42:L42))))</f>
        <v/>
      </c>
      <c r="N42" s="434" t="str">
        <f>IF($B42=SMR!$E$9,I42/(1+SMR!$D$31)^'CFA SMR'!C42,IF($B42&lt;SMR!$E$9,"",IF($B42&gt;SMR!$D$30+SMR!$E$9,"",I42/(1+SMR!$D$31)^'CFA SMR'!C42)))</f>
        <v/>
      </c>
      <c r="O42" s="434" t="str">
        <f>IF($B42=SMR!$E$9,J42/(1+SMR!$D$31)^'CFA SMR'!C42,IF($B42&lt;SMR!$E$9,"",IF($B42&gt;SMR!$D$30+SMR!$E$9,"",J42/(1+SMR!$D$31)^'CFA SMR'!C42)))</f>
        <v/>
      </c>
      <c r="P42" s="434" t="str">
        <f>IF($B42=SMR!$E$9,K42/(1+SMR!$D$31)^'CFA SMR'!C42,IF($B42&lt;SMR!$E$9,"",IF($B42&gt;SMR!$D$30+SMR!$E$9,"",K42/(1+SMR!$D$31)^'CFA SMR'!C42)))</f>
        <v/>
      </c>
      <c r="Q42" s="434" t="str">
        <f>IF($B42=SMR!$E$9,L42/(1+SMR!$D$31)^'CFA SMR'!C42,IF($B42&lt;SMR!$E$9,"",IF($B42&gt;SMR!$D$30+SMR!$E$9,"",L42/(1+SMR!$D$31)^'CFA SMR'!C42)))</f>
        <v/>
      </c>
      <c r="R42" s="434" t="str">
        <f>IF($B42=SMR!$E$9,M42/(1+SMR!$D$31)^'CFA SMR'!C42,IF($B42&lt;SMR!$E$9,"",IF($B42&gt;SMR!$D$30+SMR!$E$9,"",M42/(1+SMR!$D$31)^'CFA SMR'!C42)))</f>
        <v/>
      </c>
      <c r="S42" s="437" t="str">
        <f>IF($B42=SMR!$E$9,0,IF($B42&lt;SMR!$E$9,"",IF($B42&gt;SMR!$D$30+SMR!$E$9,"",SMR!$D$60)))</f>
        <v/>
      </c>
      <c r="T42" s="438" t="str">
        <f>IF($B42=SMR!$E$9,S42/(1+SMR!$D$31)^'CFA SMR'!C42,IF($B42&lt;SMR!$E$9,"",IF($B42&gt;SMR!$D$30+SMR!$E$9,"",S42/(1+SMR!$D$31)^'CFA SMR'!C42)))</f>
        <v/>
      </c>
    </row>
  </sheetData>
  <sheetProtection algorithmName="SHA-512" hashValue="HJDLitAsiTRJ/fIrkekndLKefi1w0EVes3rGS/4MWu8CZbpSuBFSOQbTsB62+jasjvjzTDx1qORVmRbaeY6Ulw==" saltValue="Fth7UeZ8PaXciw9lG7oJrw==" spinCount="100000" sheet="1" objects="1" scenarios="1"/>
  <hyperlinks>
    <hyperlink ref="A1" location="HOME!A1" display="HOME" xr:uid="{B30BFF7C-8486-7243-8626-DADC8C8B3334}"/>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518B-15EC-B44A-884C-1F8BC374CCE3}">
  <sheetPr>
    <tabColor theme="4" tint="0.59999389629810485"/>
  </sheetPr>
  <dimension ref="A1:K58"/>
  <sheetViews>
    <sheetView topLeftCell="A11" zoomScale="84" zoomScaleNormal="60" workbookViewId="0">
      <selection activeCell="F26" sqref="F26"/>
    </sheetView>
  </sheetViews>
  <sheetFormatPr baseColWidth="10" defaultColWidth="10.5" defaultRowHeight="16"/>
  <cols>
    <col min="1" max="1" width="18.5" style="2" bestFit="1" customWidth="1"/>
    <col min="2" max="2" width="12" style="2" bestFit="1" customWidth="1"/>
    <col min="3" max="3" width="10.5" style="2"/>
    <col min="4" max="4" width="12" style="2" bestFit="1" customWidth="1"/>
    <col min="5" max="5" width="10.5" style="2"/>
    <col min="6" max="6" width="39.5" style="2" bestFit="1" customWidth="1"/>
    <col min="7" max="7" width="11.33203125" style="2" customWidth="1"/>
    <col min="8" max="8" width="10.5" style="2"/>
    <col min="9" max="9" width="12" style="2" bestFit="1" customWidth="1"/>
    <col min="10" max="10" width="11.5" style="2" bestFit="1" customWidth="1"/>
    <col min="11" max="11" width="35" style="2" bestFit="1" customWidth="1"/>
    <col min="12" max="16384" width="10.5" style="2"/>
  </cols>
  <sheetData>
    <row r="1" spans="1:10">
      <c r="A1" s="213" t="s">
        <v>234</v>
      </c>
    </row>
    <row r="2" spans="1:10" ht="17" thickBot="1"/>
    <row r="3" spans="1:10">
      <c r="A3" s="1108" t="s">
        <v>744</v>
      </c>
      <c r="B3" s="1109"/>
      <c r="C3" s="1109"/>
      <c r="D3" s="1109"/>
      <c r="E3" s="1109"/>
      <c r="F3" s="1109"/>
      <c r="G3" s="1110"/>
      <c r="I3" s="1106" t="s">
        <v>823</v>
      </c>
      <c r="J3" s="1107"/>
    </row>
    <row r="4" spans="1:10">
      <c r="A4" s="1111"/>
      <c r="B4" s="1112"/>
      <c r="C4" s="1112"/>
      <c r="D4" s="1112"/>
      <c r="E4" s="1112"/>
      <c r="F4" s="1112"/>
      <c r="G4" s="1113"/>
      <c r="I4" s="142" t="s">
        <v>244</v>
      </c>
      <c r="J4" s="145">
        <v>10</v>
      </c>
    </row>
    <row r="5" spans="1:10">
      <c r="A5" s="1114">
        <f>D35</f>
        <v>2.809269418192716</v>
      </c>
      <c r="B5" s="1115"/>
      <c r="C5" s="1115"/>
      <c r="D5" s="1115"/>
      <c r="E5" s="1118" t="s">
        <v>236</v>
      </c>
      <c r="F5" s="1118"/>
      <c r="G5" s="1119"/>
      <c r="I5" s="143" t="s">
        <v>746</v>
      </c>
      <c r="J5" s="145">
        <f>HOME!D12/1000</f>
        <v>0</v>
      </c>
    </row>
    <row r="6" spans="1:10" ht="17" thickBot="1">
      <c r="A6" s="1116"/>
      <c r="B6" s="1117"/>
      <c r="C6" s="1117"/>
      <c r="D6" s="1117"/>
      <c r="E6" s="1120"/>
      <c r="F6" s="1120"/>
      <c r="G6" s="1121"/>
      <c r="I6" s="144" t="s">
        <v>747</v>
      </c>
      <c r="J6" s="146">
        <f>IF(ISBLANK(HOME!D12),J4,HOME!D12/1000)</f>
        <v>10</v>
      </c>
    </row>
    <row r="7" spans="1:10">
      <c r="A7"/>
      <c r="B7"/>
      <c r="C7"/>
      <c r="D7"/>
      <c r="E7"/>
      <c r="F7"/>
      <c r="G7"/>
    </row>
    <row r="8" spans="1:10">
      <c r="A8" s="1122" t="s">
        <v>748</v>
      </c>
      <c r="B8" s="1122"/>
      <c r="C8" s="1122"/>
      <c r="D8" s="1123"/>
      <c r="E8" s="1124" t="str">
        <f>HOME!C9</f>
        <v>Spain</v>
      </c>
      <c r="F8" s="1124"/>
      <c r="G8" s="1125"/>
    </row>
    <row r="9" spans="1:10">
      <c r="A9" s="1122" t="s">
        <v>237</v>
      </c>
      <c r="B9" s="1122"/>
      <c r="C9" s="1122"/>
      <c r="D9" s="1123"/>
      <c r="E9" s="1124">
        <f>HOME!A9</f>
        <v>2022</v>
      </c>
      <c r="F9" s="1124"/>
      <c r="G9" s="1125"/>
    </row>
    <row r="11" spans="1:10" ht="17" thickBot="1"/>
    <row r="12" spans="1:10" ht="17" thickBot="1">
      <c r="A12" s="1102" t="s">
        <v>243</v>
      </c>
      <c r="B12" s="1104"/>
      <c r="C12" s="1104"/>
      <c r="D12" s="1104"/>
      <c r="E12" s="1104"/>
      <c r="F12" s="1104"/>
      <c r="G12" s="1105"/>
    </row>
    <row r="13" spans="1:10">
      <c r="A13" s="222"/>
      <c r="B13" s="223"/>
      <c r="C13" s="223"/>
      <c r="D13" s="223"/>
      <c r="E13" s="223"/>
      <c r="F13" s="217"/>
      <c r="G13" s="171"/>
    </row>
    <row r="14" spans="1:10">
      <c r="A14" s="48" t="s">
        <v>154</v>
      </c>
      <c r="B14" s="48" t="s">
        <v>244</v>
      </c>
      <c r="C14" s="48" t="s">
        <v>245</v>
      </c>
      <c r="D14" s="48" t="s">
        <v>246</v>
      </c>
      <c r="E14" s="49" t="s">
        <v>247</v>
      </c>
      <c r="F14" s="224" t="s">
        <v>248</v>
      </c>
      <c r="G14" s="225"/>
    </row>
    <row r="16" spans="1:10" ht="18" customHeight="1">
      <c r="A16" s="526" t="s">
        <v>878</v>
      </c>
      <c r="B16" s="505">
        <f>'Prod Data'!AA5*(1+(6/10-1)*(E9-2022)/(D17-2022))</f>
        <v>708</v>
      </c>
      <c r="C16" s="8"/>
      <c r="D16" s="528">
        <f>IF(ISBLANK(C16),B16,C16)</f>
        <v>708</v>
      </c>
      <c r="E16" s="510" t="s">
        <v>717</v>
      </c>
      <c r="F16" s="3" t="s">
        <v>907</v>
      </c>
      <c r="G16" s="1044" t="s">
        <v>845</v>
      </c>
    </row>
    <row r="17" spans="1:7" ht="18">
      <c r="A17" s="527" t="s">
        <v>908</v>
      </c>
      <c r="B17" s="507">
        <f>'Prod Data'!AA7</f>
        <v>2030</v>
      </c>
      <c r="C17" s="8"/>
      <c r="D17" s="528">
        <f>IF(ISBLANK(C17),B17,C17)</f>
        <v>2030</v>
      </c>
      <c r="E17" s="510"/>
      <c r="F17" s="3" t="s">
        <v>909</v>
      </c>
      <c r="G17" s="1045"/>
    </row>
    <row r="18" spans="1:7" ht="18">
      <c r="A18" s="526" t="s">
        <v>202</v>
      </c>
      <c r="B18" s="506">
        <f>'Prod Data'!AA6</f>
        <v>0.05</v>
      </c>
      <c r="C18" s="9"/>
      <c r="D18" s="513">
        <f>IF(ISBLANK(C18),B18,C18)</f>
        <v>0.05</v>
      </c>
      <c r="E18" s="510"/>
      <c r="F18" s="3" t="s">
        <v>910</v>
      </c>
      <c r="G18" s="1045"/>
    </row>
    <row r="19" spans="1:7" ht="18">
      <c r="A19" s="526" t="s">
        <v>846</v>
      </c>
      <c r="B19" s="507">
        <f>'Prod Data'!AA8</f>
        <v>25</v>
      </c>
      <c r="C19" s="8"/>
      <c r="D19" s="514">
        <f>IF(ISBLANK(C19),B19,C19)</f>
        <v>25</v>
      </c>
      <c r="E19" s="335" t="s">
        <v>207</v>
      </c>
      <c r="F19" s="4" t="s">
        <v>911</v>
      </c>
      <c r="G19" s="1045"/>
    </row>
    <row r="20" spans="1:7" ht="18">
      <c r="A20" s="526" t="s">
        <v>848</v>
      </c>
      <c r="B20" s="506">
        <f>'Prod Data'!AA10</f>
        <v>0.95</v>
      </c>
      <c r="C20" s="9"/>
      <c r="D20" s="515">
        <f t="shared" ref="D20:D21" si="0">IF(ISBLANK(C20),B20,C20)</f>
        <v>0.95</v>
      </c>
      <c r="E20" s="510"/>
      <c r="F20" s="4" t="s">
        <v>912</v>
      </c>
      <c r="G20" s="1045"/>
    </row>
    <row r="21" spans="1:7" ht="18">
      <c r="A21" s="526" t="s">
        <v>913</v>
      </c>
      <c r="B21" s="508">
        <f>'Prod Data'!AA9</f>
        <v>4.8600000000000003</v>
      </c>
      <c r="C21" s="57"/>
      <c r="D21" s="516">
        <f t="shared" si="0"/>
        <v>4.8600000000000003</v>
      </c>
      <c r="E21" s="335" t="s">
        <v>914</v>
      </c>
      <c r="F21" s="4" t="s">
        <v>853</v>
      </c>
      <c r="G21" s="1045"/>
    </row>
    <row r="22" spans="1:7">
      <c r="A22" s="526" t="s">
        <v>211</v>
      </c>
      <c r="B22" s="506">
        <f>('Prod Data'!AA13+1)/(1+'General values'!R9)-1</f>
        <v>6.1086139562302133E-2</v>
      </c>
      <c r="C22" s="8"/>
      <c r="D22" s="515">
        <f>IF(ISBLANK(C22),B22,C22)</f>
        <v>6.1086139562302133E-2</v>
      </c>
      <c r="E22" s="335"/>
      <c r="F22" s="3" t="s">
        <v>284</v>
      </c>
      <c r="G22" s="1046"/>
    </row>
    <row r="23" spans="1:7">
      <c r="A23" s="280"/>
      <c r="B23" s="280"/>
      <c r="D23" s="280"/>
      <c r="E23" s="280"/>
    </row>
    <row r="24" spans="1:7">
      <c r="A24" s="526" t="s">
        <v>860</v>
      </c>
      <c r="B24" s="505">
        <f>AVERAGE('CFA Pyrolysis'!D4:D42)</f>
        <v>3.2147999999999996E-2</v>
      </c>
      <c r="C24" s="8"/>
      <c r="D24" s="509">
        <f>IF(ISBLANK(C24),B24,C24)</f>
        <v>3.2147999999999996E-2</v>
      </c>
      <c r="E24" s="335" t="s">
        <v>751</v>
      </c>
      <c r="F24" s="3" t="s">
        <v>862</v>
      </c>
      <c r="G24" s="62"/>
    </row>
    <row r="25" spans="1:7">
      <c r="A25" s="280"/>
      <c r="B25" s="280"/>
      <c r="D25" s="280"/>
      <c r="E25" s="280"/>
    </row>
    <row r="26" spans="1:7" ht="18">
      <c r="A26" s="526" t="s">
        <v>915</v>
      </c>
      <c r="B26" s="505">
        <f>'Prod Data'!AA12</f>
        <v>0.95</v>
      </c>
      <c r="C26" s="8"/>
      <c r="D26" s="509">
        <f>IF(ISBLANK(C26),B26,C26)</f>
        <v>0.95</v>
      </c>
      <c r="E26" s="335" t="s">
        <v>916</v>
      </c>
      <c r="F26" s="60" t="s">
        <v>917</v>
      </c>
      <c r="G26" s="1044" t="s">
        <v>918</v>
      </c>
    </row>
    <row r="27" spans="1:7">
      <c r="A27" s="956" t="s">
        <v>919</v>
      </c>
      <c r="B27" s="958"/>
      <c r="C27" s="5" t="s">
        <v>35</v>
      </c>
      <c r="D27" s="280"/>
      <c r="E27" s="280"/>
      <c r="G27" s="1045"/>
    </row>
    <row r="28" spans="1:7" ht="18">
      <c r="A28" s="526" t="s">
        <v>920</v>
      </c>
      <c r="B28" s="505">
        <f>'Prod Data'!AA11</f>
        <v>3</v>
      </c>
      <c r="C28" s="9"/>
      <c r="D28" s="516">
        <f>IF(ISBLANK(C28),B28,C28)</f>
        <v>3</v>
      </c>
      <c r="E28" s="335" t="s">
        <v>921</v>
      </c>
      <c r="F28" s="61" t="s">
        <v>922</v>
      </c>
      <c r="G28" s="1046"/>
    </row>
    <row r="30" spans="1:7" ht="17" thickBot="1"/>
    <row r="31" spans="1:7" ht="17" thickBot="1">
      <c r="A31" s="1102" t="s">
        <v>297</v>
      </c>
      <c r="B31" s="1104"/>
      <c r="C31" s="1104"/>
      <c r="D31" s="1104"/>
      <c r="E31" s="1104"/>
      <c r="F31" s="1104"/>
      <c r="G31" s="1105"/>
    </row>
    <row r="33" spans="1:5">
      <c r="A33" s="1080" t="s">
        <v>885</v>
      </c>
      <c r="B33" s="1081"/>
      <c r="C33" s="1081"/>
      <c r="D33" s="414">
        <f>D20*8760/'General values'!C3</f>
        <v>249.68496849684971</v>
      </c>
      <c r="E33" s="415" t="s">
        <v>886</v>
      </c>
    </row>
    <row r="34" spans="1:5" ht="17" thickBot="1">
      <c r="A34" s="351"/>
      <c r="B34" s="351"/>
      <c r="C34" s="351"/>
      <c r="D34" s="280"/>
      <c r="E34" s="280"/>
    </row>
    <row r="35" spans="1:5" ht="19" thickBot="1">
      <c r="A35" s="1074" t="s">
        <v>808</v>
      </c>
      <c r="B35" s="1075"/>
      <c r="C35" s="1075"/>
      <c r="D35" s="418">
        <f>SUM('CFA Pyrolysis'!L4:L42)/SUM('CFA Pyrolysis'!N4:N42)</f>
        <v>2.809269418192716</v>
      </c>
      <c r="E35" s="419" t="s">
        <v>75</v>
      </c>
    </row>
    <row r="36" spans="1:5">
      <c r="A36" s="1071" t="s">
        <v>321</v>
      </c>
      <c r="B36" s="1072"/>
      <c r="C36" s="1072"/>
      <c r="D36" s="1072"/>
      <c r="E36" s="1073"/>
    </row>
    <row r="37" spans="1:5" ht="18">
      <c r="A37" s="1067" t="s">
        <v>887</v>
      </c>
      <c r="B37" s="1068"/>
      <c r="C37" s="1068"/>
      <c r="D37" s="420">
        <f>D35-D38-D39</f>
        <v>0.36589069270544083</v>
      </c>
      <c r="E37" s="421" t="s">
        <v>75</v>
      </c>
    </row>
    <row r="38" spans="1:5" ht="18">
      <c r="A38" s="1067" t="s">
        <v>888</v>
      </c>
      <c r="B38" s="1068"/>
      <c r="C38" s="1068"/>
      <c r="D38" s="420">
        <f>SUM('CFA Pyrolysis'!J4:J42)/SUM('CFA Pyrolysis'!N4:N42)</f>
        <v>2.4433787254872752</v>
      </c>
      <c r="E38" s="421" t="s">
        <v>75</v>
      </c>
    </row>
    <row r="39" spans="1:5" ht="19" thickBot="1">
      <c r="A39" s="1069" t="s">
        <v>923</v>
      </c>
      <c r="B39" s="1070"/>
      <c r="C39" s="1070"/>
      <c r="D39" s="422">
        <f>SUM('CFA Pyrolysis'!K4:K42)/SUM('CFA Pyrolysis'!N4:N42)</f>
        <v>0</v>
      </c>
      <c r="E39" s="423" t="s">
        <v>75</v>
      </c>
    </row>
    <row r="57" spans="11:11">
      <c r="K57" s="216"/>
    </row>
    <row r="58" spans="11:11">
      <c r="K58" s="216"/>
    </row>
  </sheetData>
  <sheetProtection algorithmName="SHA-512" hashValue="w71JTtGsmZnGGBNh2xvZLvsSybQwNoTAzb0O//EkA4UxnSUl6pGfcMJQKKXs0tmmq8sGyBhY6pAIO3zRoPcjIQ==" saltValue="90m3RJnANm8PGbG3RlpZMg==" spinCount="100000" sheet="1" objects="1" scenarios="1"/>
  <mergeCells count="19">
    <mergeCell ref="A37:C37"/>
    <mergeCell ref="A38:C38"/>
    <mergeCell ref="A39:C39"/>
    <mergeCell ref="A31:G31"/>
    <mergeCell ref="A33:C33"/>
    <mergeCell ref="A35:C35"/>
    <mergeCell ref="A12:G12"/>
    <mergeCell ref="G26:G28"/>
    <mergeCell ref="G16:G22"/>
    <mergeCell ref="I3:J3"/>
    <mergeCell ref="A36:E36"/>
    <mergeCell ref="A27:B27"/>
    <mergeCell ref="A3:G4"/>
    <mergeCell ref="A5:D6"/>
    <mergeCell ref="E5:G6"/>
    <mergeCell ref="A8:D8"/>
    <mergeCell ref="E8:G8"/>
    <mergeCell ref="A9:D9"/>
    <mergeCell ref="E9:G9"/>
  </mergeCells>
  <hyperlinks>
    <hyperlink ref="A1" location="HOME!A1" display="HOME" xr:uid="{A7A7AC5F-AED8-3448-B1B9-0D5A468902BF}"/>
    <hyperlink ref="I5" location="HOME!D17" display="Overwritten" xr:uid="{1D57EB98-F68D-FC4C-80EC-FDE5898B1CBB}"/>
  </hyperlink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12D8FB4-B7FB-BA41-BC03-29790FD1A92B}">
          <x14:formula1>
            <xm:f>'List DB'!$M$2:$M$3</xm:f>
          </x14:formula1>
          <xm:sqref>C27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EF04-BB88-BF4B-93AC-56751B962963}">
  <sheetPr>
    <tabColor theme="4" tint="0.79998168889431442"/>
  </sheetPr>
  <dimension ref="A1:N42"/>
  <sheetViews>
    <sheetView zoomScale="82" zoomScaleNormal="60" workbookViewId="0">
      <selection activeCell="P34" sqref="P34"/>
    </sheetView>
  </sheetViews>
  <sheetFormatPr baseColWidth="10" defaultColWidth="10.83203125" defaultRowHeight="16"/>
  <cols>
    <col min="1" max="3" width="10.83203125" style="31"/>
    <col min="4" max="4" width="12.5" style="31" bestFit="1" customWidth="1"/>
    <col min="5" max="12" width="10.83203125" style="31"/>
    <col min="13" max="13" width="11.5" style="31" bestFit="1" customWidth="1"/>
    <col min="14" max="14" width="12" style="31" customWidth="1"/>
    <col min="15" max="16384" width="10.83203125" style="31"/>
  </cols>
  <sheetData>
    <row r="1" spans="1:14" s="30" customFormat="1" ht="17" thickBot="1">
      <c r="A1" s="32" t="s">
        <v>234</v>
      </c>
    </row>
    <row r="2" spans="1:14" ht="18">
      <c r="B2" s="18"/>
      <c r="C2" s="19"/>
      <c r="D2" s="56" t="s">
        <v>891</v>
      </c>
      <c r="E2" s="21" t="s">
        <v>893</v>
      </c>
      <c r="F2" s="22" t="s">
        <v>893</v>
      </c>
      <c r="G2" s="23" t="s">
        <v>893</v>
      </c>
      <c r="H2" s="22" t="s">
        <v>893</v>
      </c>
      <c r="I2" s="24" t="s">
        <v>893</v>
      </c>
      <c r="J2" s="25" t="s">
        <v>893</v>
      </c>
      <c r="K2" s="25" t="s">
        <v>893</v>
      </c>
      <c r="L2" s="25" t="s">
        <v>893</v>
      </c>
      <c r="M2" s="26" t="s">
        <v>894</v>
      </c>
      <c r="N2" s="27" t="s">
        <v>894</v>
      </c>
    </row>
    <row r="3" spans="1:14" ht="39">
      <c r="B3" s="529" t="s">
        <v>530</v>
      </c>
      <c r="C3" s="530" t="s">
        <v>531</v>
      </c>
      <c r="D3" s="531" t="s">
        <v>895</v>
      </c>
      <c r="E3" s="532" t="s">
        <v>878</v>
      </c>
      <c r="F3" s="533" t="s">
        <v>898</v>
      </c>
      <c r="G3" s="534" t="s">
        <v>899</v>
      </c>
      <c r="H3" s="533" t="s">
        <v>918</v>
      </c>
      <c r="I3" s="535" t="s">
        <v>536</v>
      </c>
      <c r="J3" s="536" t="s">
        <v>903</v>
      </c>
      <c r="K3" s="536" t="s">
        <v>924</v>
      </c>
      <c r="L3" s="537" t="s">
        <v>538</v>
      </c>
      <c r="M3" s="538" t="s">
        <v>821</v>
      </c>
      <c r="N3" s="539" t="s">
        <v>822</v>
      </c>
    </row>
    <row r="4" spans="1:14">
      <c r="B4" s="424">
        <v>2022</v>
      </c>
      <c r="C4" s="425">
        <f>IF($B4=Pyr!$E$9,B4-HOME!$A$9,IF($B4&lt;Pyr!$E$9,"",IF($B4&gt;Pyr!$D$19+Pyr!$E$9,"",B4-HOME!$A$9)))</f>
        <v>0</v>
      </c>
      <c r="D4" s="426" t="str" cm="1">
        <f t="array" ref="D4">IF(B4=Pyr!$E$9,"",IF(B4&lt;Pyr!$E$9,"",IF(B4&gt;Pyr!$D$19+Pyr!$E$9,"",IF(INDEX(Tb_Fuel[],MATCH(B4,Tb_Fuel[Year],0),HLOOKUP(Pyr!$E$8&amp;" - Gas",'Fuel Data'!$BB$2:$BX$3,2,FALSE)+1)=0,INDEX(Tb_Fuel[],MATCH(B4,Tb_Fuel[Year],0),HLOOKUP(Pyr!$E$8&amp;" - Gas",'Fuel Data'!$BB$2:$BX$3,2,FALSE)+1),INDEX(Tb_Fuel[],MATCH(B4,Tb_Fuel[Year],0),HLOOKUP(Pyr!$E$8&amp;" - Gas",'Fuel Data'!$BB$2:$BX$3,2,FALSE)+1)))))</f>
        <v/>
      </c>
      <c r="E4" s="426">
        <f>IF(B4=Pyr!$E$9,Pyr!$D$16,IF(B4&lt;Pyr!$E$9,"",IF(B4&gt;Pyr!$D$19+Pyr!$E$9,"",0)))</f>
        <v>708</v>
      </c>
      <c r="F4" s="426">
        <f>IF(B4=Pyr!$E$9,0,IF(B4&lt;Pyr!$E$9,"",IF(B4&gt;Pyr!$D$19+Pyr!$E$9,"",Pyr!$D$16*Pyr!$D$18)))</f>
        <v>0</v>
      </c>
      <c r="G4" s="426">
        <f>IF($B4=Pyr!$E$9,0,IF($B4&lt;Pyr!$E$9,"",IF($B4&gt;Pyr!$D$19+Pyr!$E$9,"",IF(ISBLANK(Pyr!$C$24),D4*Pyr!$D$21*'General values'!$B$26*'CFA Pyrolysis'!M4,Pyr!$D$24*Pyr!$D$21*'General values'!$B$26*'CFA Pyrolysis'!M4))))</f>
        <v>0</v>
      </c>
      <c r="H4" s="426">
        <f>IF($B4=Pyr!$E$9,0,IF($B4&lt;Pyr!$E$9,"",IF($B4&gt;Pyr!$D$19+Pyr!$E$9,"",IF(Pyr!$C$27="Yes",-Pyr!$D$28*Pyr!$D$33*Pyr!$D$26,0))))</f>
        <v>0</v>
      </c>
      <c r="I4" s="426">
        <f>IF($B4=Pyr!$E$9,SUM(E4:H4),IF($B4&lt;Pyr!$E$9,"",IF($B4&gt;Pyr!$D$19+Pyr!$E$9,"",SUM(E4:H4))))</f>
        <v>708</v>
      </c>
      <c r="J4" s="426">
        <f>IF($B4=Pyr!$E$9,G4/(1+Pyr!$D$22)^C4,IF($B4&lt;Pyr!$E$9,"",IF($B4&gt;Pyr!$D$19+Pyr!$E$9,"",G4/(1+Pyr!$D$22)^C4)))</f>
        <v>0</v>
      </c>
      <c r="K4" s="426">
        <f>IF($B4=Pyr!$E$9,H4/(1+Pyr!$D$22)^C4,IF($B4&lt;Pyr!$E$9,"",IF($B4&gt;Pyr!$D$19+Pyr!$E$9,"",H4/(1+Pyr!$D$22)^C4)))</f>
        <v>0</v>
      </c>
      <c r="L4" s="426">
        <f>IF($B4=Pyr!$E$9,I4/(1+Pyr!$D$22)^C4,IF($B4&lt;Pyr!$E$9,"",IF($B4&gt;Pyr!$D$19+Pyr!$E$9,"",I4/(1+Pyr!$D$22)^C4)))</f>
        <v>708</v>
      </c>
      <c r="M4" s="429">
        <f>IF($B4=Pyr!$E$9,0,IF($B4&lt;Pyr!$E$9,"",IF($B4&gt;Pyr!$D$19+SMR!$E$9,"",Pyr!$D$33)))</f>
        <v>0</v>
      </c>
      <c r="N4" s="430">
        <f>IF($B4=Pyr!$E$9,M4/(1+Pyr!$D$22)^C4,IF($B4&lt;Pyr!$E$9,"",IF($B4&gt;Pyr!$D$19+Pyr!$E$9,"",M4/(1+Pyr!$D$22)^C4)))</f>
        <v>0</v>
      </c>
    </row>
    <row r="5" spans="1:14">
      <c r="B5" s="424">
        <v>2023</v>
      </c>
      <c r="C5" s="431">
        <f>IF($B5=Pyr!$E$9,B5-HOME!$A$9,IF($B5&lt;Pyr!$E$9,"",IF($B5&gt;Pyr!$D$19+Pyr!$E$9,"",B5-HOME!$A$9)))</f>
        <v>1</v>
      </c>
      <c r="D5" s="426" cm="1">
        <f t="array" ref="D5">IF(B5=Pyr!$E$9,"",IF(B5&lt;Pyr!$E$9,"",IF(B5&gt;Pyr!$D$19+Pyr!$E$9,"",IF(INDEX(Tb_Fuel[],MATCH(B5,Tb_Fuel[Year],0),HLOOKUP(Pyr!$E$8&amp;" - Gas",'Fuel Data'!$BB$2:$BX$3,2,FALSE)+1)=0,INDEX(Tb_Fuel[],MATCH(B5,Tb_Fuel[Year],0),HLOOKUP(Pyr!$E$8&amp;" - Gas",'Fuel Data'!$BB$2:$BX$3,2,FALSE)+1),INDEX(Tb_Fuel[],MATCH(B5,Tb_Fuel[Year],0),HLOOKUP(Pyr!$E$8&amp;" - Gas",'Fuel Data'!$BB$2:$BX$3,2,FALSE)+1)))))</f>
        <v>7.4424999999999991E-2</v>
      </c>
      <c r="E5" s="426">
        <f>IF(B5=Pyr!$E$9,Pyr!$D$16,IF(B5&lt;Pyr!$E$9,"",IF(B5&gt;Pyr!$D$19+Pyr!$E$9,"",0)))</f>
        <v>0</v>
      </c>
      <c r="F5" s="426">
        <f>IF(B5=Pyr!$E$9,0,IF(B5&lt;Pyr!$E$9,"",IF(B5&gt;Pyr!$D$19+Pyr!$E$9,"",Pyr!$D$16*Pyr!$D$18)))</f>
        <v>35.4</v>
      </c>
      <c r="G5" s="426">
        <f>IF($B5=Pyr!$E$9,0,IF($B5&lt;Pyr!$E$9,"",IF($B5&gt;Pyr!$D$19+Pyr!$E$9,"",IF(ISBLANK(Pyr!$C$24),D5*Pyr!$D$21*'General values'!$B$26*'CFA Pyrolysis'!M5,Pyr!$D$24*Pyr!$D$21*'General values'!$B$26*'CFA Pyrolysis'!M5))))</f>
        <v>1291.2920896329883</v>
      </c>
      <c r="H5" s="426">
        <f>IF($B5=Pyr!$E$9,0,IF($B5&lt;Pyr!$E$9,"",IF($B5&gt;Pyr!$D$19+Pyr!$E$9,"",IF(Pyr!$C$27="Yes",-Pyr!$D$28*Pyr!$D$33*Pyr!$D$26,0))))</f>
        <v>0</v>
      </c>
      <c r="I5" s="426">
        <f>IF($B5=Pyr!$E$9,SUM(E5:H5),IF($B5&lt;Pyr!$E$9,"",IF($B5&gt;Pyr!$D$19+Pyr!$E$9,"",SUM(E5:H5))))</f>
        <v>1326.6920896329884</v>
      </c>
      <c r="J5" s="426">
        <f>IF($B5=Pyr!$E$9,G5/(1+Pyr!$D$22)^C5,IF($B5&lt;Pyr!$E$9,"",IF($B5&gt;Pyr!$D$19+Pyr!$E$9,"",G5/(1+Pyr!$D$22)^C5)))</f>
        <v>1216.9531214173112</v>
      </c>
      <c r="K5" s="426">
        <f>IF($B5=Pyr!$E$9,H5/(1+Pyr!$D$22)^C5,IF($B5&lt;Pyr!$E$9,"",IF($B5&gt;Pyr!$D$19+Pyr!$E$9,"",H5/(1+Pyr!$D$22)^C5)))</f>
        <v>0</v>
      </c>
      <c r="L5" s="426">
        <f>IF($B5=Pyr!$E$9,I5/(1+Pyr!$D$22)^C5,IF($B5&lt;Pyr!$E$9,"",IF($B5&gt;Pyr!$D$19+Pyr!$E$9,"",I5/(1+Pyr!$D$22)^C5)))</f>
        <v>1250.315163083978</v>
      </c>
      <c r="M5" s="429">
        <f>IF($B5=Pyr!$E$9,0,IF($B5&lt;Pyr!$E$9,"",IF($B5&gt;Pyr!$D$19+SMR!$E$9,"",Pyr!$D$33)))</f>
        <v>249.68496849684971</v>
      </c>
      <c r="N5" s="430">
        <f>IF($B5=Pyr!$E$9,M5/(1+Pyr!$D$22)^C5,IF($B5&lt;Pyr!$E$9,"",IF($B5&gt;Pyr!$D$19+Pyr!$E$9,"",M5/(1+Pyr!$D$22)^C5)))</f>
        <v>235.31074357435742</v>
      </c>
    </row>
    <row r="6" spans="1:14">
      <c r="B6" s="424">
        <v>2024</v>
      </c>
      <c r="C6" s="431">
        <f>IF($B6=Pyr!$E$9,B6-HOME!$A$9,IF($B6&lt;Pyr!$E$9,"",IF($B6&gt;Pyr!$D$19+Pyr!$E$9,"",B6-HOME!$A$9)))</f>
        <v>2</v>
      </c>
      <c r="D6" s="426" cm="1">
        <f t="array" ref="D6">IF(B6=Pyr!$E$9,"",IF(B6&lt;Pyr!$E$9,"",IF(B6&gt;Pyr!$D$19+Pyr!$E$9,"",IF(INDEX(Tb_Fuel[],MATCH(B6,Tb_Fuel[Year],0),HLOOKUP(Pyr!$E$8&amp;" - Gas",'Fuel Data'!$BB$2:$BX$3,2,FALSE)+1)=0,INDEX(Tb_Fuel[],MATCH(B6,Tb_Fuel[Year],0),HLOOKUP(Pyr!$E$8&amp;" - Gas",'Fuel Data'!$BB$2:$BX$3,2,FALSE)+1),INDEX(Tb_Fuel[],MATCH(B6,Tb_Fuel[Year],0),HLOOKUP(Pyr!$E$8&amp;" - Gas",'Fuel Data'!$BB$2:$BX$3,2,FALSE)+1)))))</f>
        <v>5.6799999999999996E-2</v>
      </c>
      <c r="E6" s="426">
        <f>IF(B6=Pyr!$E$9,Pyr!$D$16,IF(B6&lt;Pyr!$E$9,"",IF(B6&gt;Pyr!$D$19+Pyr!$E$9,"",0)))</f>
        <v>0</v>
      </c>
      <c r="F6" s="426">
        <f>IF(B6=Pyr!$E$9,0,IF(B6&lt;Pyr!$E$9,"",IF(B6&gt;Pyr!$D$19+Pyr!$E$9,"",Pyr!$D$16*Pyr!$D$18)))</f>
        <v>35.4</v>
      </c>
      <c r="G6" s="426">
        <f>IF($B6=Pyr!$E$9,0,IF($B6&lt;Pyr!$E$9,"",IF($B6&gt;Pyr!$D$19+Pyr!$E$9,"",IF(ISBLANK(Pyr!$C$24),D6*Pyr!$D$21*'General values'!$B$26*'CFA Pyrolysis'!M6,Pyr!$D$24*Pyr!$D$21*'General values'!$B$26*'CFA Pyrolysis'!M6))))</f>
        <v>985.49399652205227</v>
      </c>
      <c r="H6" s="426">
        <f>IF($B6=Pyr!$E$9,0,IF($B6&lt;Pyr!$E$9,"",IF($B6&gt;Pyr!$D$19+Pyr!$E$9,"",IF(Pyr!$C$27="Yes",-Pyr!$D$28*Pyr!$D$33*Pyr!$D$26,0))))</f>
        <v>0</v>
      </c>
      <c r="I6" s="426">
        <f>IF($B6=Pyr!$E$9,SUM(E6:H6),IF($B6&lt;Pyr!$E$9,"",IF($B6&gt;Pyr!$D$19+Pyr!$E$9,"",SUM(E6:H6))))</f>
        <v>1020.8939965220522</v>
      </c>
      <c r="J6" s="426">
        <f>IF($B6=Pyr!$E$9,G6/(1+Pyr!$D$22)^C6,IF($B6&lt;Pyr!$E$9,"",IF($B6&gt;Pyr!$D$19+Pyr!$E$9,"",G6/(1+Pyr!$D$22)^C6)))</f>
        <v>875.29147729896431</v>
      </c>
      <c r="K6" s="426">
        <f>IF($B6=Pyr!$E$9,H6/(1+Pyr!$D$22)^C6,IF($B6&lt;Pyr!$E$9,"",IF($B6&gt;Pyr!$D$19+Pyr!$E$9,"",H6/(1+Pyr!$D$22)^C6)))</f>
        <v>0</v>
      </c>
      <c r="L6" s="426">
        <f>IF($B6=Pyr!$E$9,I6/(1+Pyr!$D$22)^C6,IF($B6&lt;Pyr!$E$9,"",IF($B6&gt;Pyr!$D$19+Pyr!$E$9,"",I6/(1+Pyr!$D$22)^C6)))</f>
        <v>906.73288476134849</v>
      </c>
      <c r="M6" s="429">
        <f>IF($B6=Pyr!$E$9,0,IF($B6&lt;Pyr!$E$9,"",IF($B6&gt;Pyr!$D$19+SMR!$E$9,"",Pyr!$D$33)))</f>
        <v>249.68496849684971</v>
      </c>
      <c r="N6" s="430">
        <f>IF($B6=Pyr!$E$9,M6/(1+Pyr!$D$22)^C6,IF($B6&lt;Pyr!$E$9,"",IF($B6&gt;Pyr!$D$19+Pyr!$E$9,"",M6/(1+Pyr!$D$22)^C6)))</f>
        <v>221.76403479497253</v>
      </c>
    </row>
    <row r="7" spans="1:14">
      <c r="B7" s="424">
        <v>2025</v>
      </c>
      <c r="C7" s="431">
        <f>IF($B7=Pyr!$E$9,B7-HOME!$A$9,IF($B7&lt;Pyr!$E$9,"",IF($B7&gt;Pyr!$D$19+Pyr!$E$9,"",B7-HOME!$A$9)))</f>
        <v>3</v>
      </c>
      <c r="D7" s="426" cm="1">
        <f t="array" ref="D7">IF(B7=Pyr!$E$9,"",IF(B7&lt;Pyr!$E$9,"",IF(B7&gt;Pyr!$D$19+Pyr!$E$9,"",IF(INDEX(Tb_Fuel[],MATCH(B7,Tb_Fuel[Year],0),HLOOKUP(Pyr!$E$8&amp;" - Gas",'Fuel Data'!$BB$2:$BX$3,2,FALSE)+1)=0,INDEX(Tb_Fuel[],MATCH(B7,Tb_Fuel[Year],0),HLOOKUP(Pyr!$E$8&amp;" - Gas",'Fuel Data'!$BB$2:$BX$3,2,FALSE)+1),INDEX(Tb_Fuel[],MATCH(B7,Tb_Fuel[Year],0),HLOOKUP(Pyr!$E$8&amp;" - Gas",'Fuel Data'!$BB$2:$BX$3,2,FALSE)+1)))))</f>
        <v>4.4400000000000002E-2</v>
      </c>
      <c r="E7" s="426">
        <f>IF(B7=Pyr!$E$9,Pyr!$D$16,IF(B7&lt;Pyr!$E$9,"",IF(B7&gt;Pyr!$D$19+Pyr!$E$9,"",0)))</f>
        <v>0</v>
      </c>
      <c r="F7" s="426">
        <f>IF(B7=Pyr!$E$9,0,IF(B7&lt;Pyr!$E$9,"",IF(B7&gt;Pyr!$D$19+Pyr!$E$9,"",Pyr!$D$16*Pyr!$D$18)))</f>
        <v>35.4</v>
      </c>
      <c r="G7" s="426">
        <f>IF($B7=Pyr!$E$9,0,IF($B7&lt;Pyr!$E$9,"",IF($B7&gt;Pyr!$D$19+Pyr!$E$9,"",IF(ISBLANK(Pyr!$C$24),D7*Pyr!$D$21*'General values'!$B$26*'CFA Pyrolysis'!M7,Pyr!$D$24*Pyr!$D$21*'General values'!$B$26*'CFA Pyrolysis'!M7))))</f>
        <v>770.35094094329452</v>
      </c>
      <c r="H7" s="426">
        <f>IF($B7=Pyr!$E$9,0,IF($B7&lt;Pyr!$E$9,"",IF($B7&gt;Pyr!$D$19+Pyr!$E$9,"",IF(Pyr!$C$27="Yes",-Pyr!$D$28*Pyr!$D$33*Pyr!$D$26,0))))</f>
        <v>0</v>
      </c>
      <c r="I7" s="426">
        <f>IF($B7=Pyr!$E$9,SUM(E7:H7),IF($B7&lt;Pyr!$E$9,"",IF($B7&gt;Pyr!$D$19+Pyr!$E$9,"",SUM(E7:H7))))</f>
        <v>805.75094094329449</v>
      </c>
      <c r="J7" s="426">
        <f>IF($B7=Pyr!$E$9,G7/(1+Pyr!$D$22)^C7,IF($B7&lt;Pyr!$E$9,"",IF($B7&gt;Pyr!$D$19+Pyr!$E$9,"",G7/(1+Pyr!$D$22)^C7)))</f>
        <v>644.81731752009546</v>
      </c>
      <c r="K7" s="426">
        <f>IF($B7=Pyr!$E$9,H7/(1+Pyr!$D$22)^C7,IF($B7&lt;Pyr!$E$9,"",IF($B7&gt;Pyr!$D$19+Pyr!$E$9,"",H7/(1+Pyr!$D$22)^C7)))</f>
        <v>0</v>
      </c>
      <c r="L7" s="426">
        <f>IF($B7=Pyr!$E$9,I7/(1+Pyr!$D$22)^C7,IF($B7&lt;Pyr!$E$9,"",IF($B7&gt;Pyr!$D$19+Pyr!$E$9,"",I7/(1+Pyr!$D$22)^C7)))</f>
        <v>674.44866062231881</v>
      </c>
      <c r="M7" s="429">
        <f>IF($B7=Pyr!$E$9,0,IF($B7&lt;Pyr!$E$9,"",IF($B7&gt;Pyr!$D$19+SMR!$E$9,"",Pyr!$D$33)))</f>
        <v>249.68496849684971</v>
      </c>
      <c r="N7" s="430">
        <f>IF($B7=Pyr!$E$9,M7/(1+Pyr!$D$22)^C7,IF($B7&lt;Pyr!$E$9,"",IF($B7&gt;Pyr!$D$19+Pyr!$E$9,"",M7/(1+Pyr!$D$22)^C7)))</f>
        <v>208.99720251406748</v>
      </c>
    </row>
    <row r="8" spans="1:14">
      <c r="B8" s="424">
        <v>2026</v>
      </c>
      <c r="C8" s="431">
        <f>IF($B8=Pyr!$E$9,B8-HOME!$A$9,IF($B8&lt;Pyr!$E$9,"",IF($B8&gt;Pyr!$D$19+Pyr!$E$9,"",B8-HOME!$A$9)))</f>
        <v>4</v>
      </c>
      <c r="D8" s="426" cm="1">
        <f t="array" ref="D8">IF(B8=Pyr!$E$9,"",IF(B8&lt;Pyr!$E$9,"",IF(B8&gt;Pyr!$D$19+Pyr!$E$9,"",IF(INDEX(Tb_Fuel[],MATCH(B8,Tb_Fuel[Year],0),HLOOKUP(Pyr!$E$8&amp;" - Gas",'Fuel Data'!$BB$2:$BX$3,2,FALSE)+1)=0,INDEX(Tb_Fuel[],MATCH(B8,Tb_Fuel[Year],0),HLOOKUP(Pyr!$E$8&amp;" - Gas",'Fuel Data'!$BB$2:$BX$3,2,FALSE)+1),INDEX(Tb_Fuel[],MATCH(B8,Tb_Fuel[Year],0),HLOOKUP(Pyr!$E$8&amp;" - Gas",'Fuel Data'!$BB$2:$BX$3,2,FALSE)+1)))))</f>
        <v>3.2925000000000003E-2</v>
      </c>
      <c r="E8" s="426">
        <f>IF(B8=Pyr!$E$9,Pyr!$D$16,IF(B8&lt;Pyr!$E$9,"",IF(B8&gt;Pyr!$D$19+Pyr!$E$9,"",0)))</f>
        <v>0</v>
      </c>
      <c r="F8" s="426">
        <f>IF(B8=Pyr!$E$9,0,IF(B8&lt;Pyr!$E$9,"",IF(B8&gt;Pyr!$D$19+Pyr!$E$9,"",Pyr!$D$16*Pyr!$D$18)))</f>
        <v>35.4</v>
      </c>
      <c r="G8" s="426">
        <f>IF($B8=Pyr!$E$9,0,IF($B8&lt;Pyr!$E$9,"",IF($B8&gt;Pyr!$D$19+Pyr!$E$9,"",IF(ISBLANK(Pyr!$C$24),D8*Pyr!$D$21*'General values'!$B$26*'CFA Pyrolysis'!M8,Pyr!$D$24*Pyr!$D$21*'General values'!$B$26*'CFA Pyrolysis'!M8))))</f>
        <v>571.25686330085523</v>
      </c>
      <c r="H8" s="426">
        <f>IF($B8=Pyr!$E$9,0,IF($B8&lt;Pyr!$E$9,"",IF($B8&gt;Pyr!$D$19+Pyr!$E$9,"",IF(Pyr!$C$27="Yes",-Pyr!$D$28*Pyr!$D$33*Pyr!$D$26,0))))</f>
        <v>0</v>
      </c>
      <c r="I8" s="426">
        <f>IF($B8=Pyr!$E$9,SUM(E8:H8),IF($B8&lt;Pyr!$E$9,"",IF($B8&gt;Pyr!$D$19+Pyr!$E$9,"",SUM(E8:H8))))</f>
        <v>606.65686330085521</v>
      </c>
      <c r="J8" s="426">
        <f>IF($B8=Pyr!$E$9,G8/(1+Pyr!$D$22)^C8,IF($B8&lt;Pyr!$E$9,"",IF($B8&gt;Pyr!$D$19+Pyr!$E$9,"",G8/(1+Pyr!$D$22)^C8)))</f>
        <v>450.63909338079827</v>
      </c>
      <c r="K8" s="426">
        <f>IF($B8=Pyr!$E$9,H8/(1+Pyr!$D$22)^C8,IF($B8&lt;Pyr!$E$9,"",IF($B8&gt;Pyr!$D$19+Pyr!$E$9,"",H8/(1+Pyr!$D$22)^C8)))</f>
        <v>0</v>
      </c>
      <c r="L8" s="426">
        <f>IF($B8=Pyr!$E$9,I8/(1+Pyr!$D$22)^C8,IF($B8&lt;Pyr!$E$9,"",IF($B8&gt;Pyr!$D$19+Pyr!$E$9,"",I8/(1+Pyr!$D$22)^C8)))</f>
        <v>478.56457652248395</v>
      </c>
      <c r="M8" s="429">
        <f>IF($B8=Pyr!$E$9,0,IF($B8&lt;Pyr!$E$9,"",IF($B8&gt;Pyr!$D$19+SMR!$E$9,"",Pyr!$D$33)))</f>
        <v>249.68496849684971</v>
      </c>
      <c r="N8" s="430">
        <f>IF($B8=Pyr!$E$9,M8/(1+Pyr!$D$22)^C8,IF($B8&lt;Pyr!$E$9,"",IF($B8&gt;Pyr!$D$19+Pyr!$E$9,"",M8/(1+Pyr!$D$22)^C8)))</f>
        <v>196.96534967488955</v>
      </c>
    </row>
    <row r="9" spans="1:14">
      <c r="B9" s="424">
        <v>2027</v>
      </c>
      <c r="C9" s="431">
        <f>IF($B9=Pyr!$E$9,B9-HOME!$A$9,IF($B9&lt;Pyr!$E$9,"",IF($B9&gt;Pyr!$D$19+Pyr!$E$9,"",B9-HOME!$A$9)))</f>
        <v>5</v>
      </c>
      <c r="D9" s="426" cm="1">
        <f t="array" ref="D9">IF(B9=Pyr!$E$9,"",IF(B9&lt;Pyr!$E$9,"",IF(B9&gt;Pyr!$D$19+Pyr!$E$9,"",IF(INDEX(Tb_Fuel[],MATCH(B9,Tb_Fuel[Year],0),HLOOKUP(Pyr!$E$8&amp;" - Gas",'Fuel Data'!$BB$2:$BX$3,2,FALSE)+1)=0,INDEX(Tb_Fuel[],MATCH(B9,Tb_Fuel[Year],0),HLOOKUP(Pyr!$E$8&amp;" - Gas",'Fuel Data'!$BB$2:$BX$3,2,FALSE)+1),INDEX(Tb_Fuel[],MATCH(B9,Tb_Fuel[Year],0),HLOOKUP(Pyr!$E$8&amp;" - Gas",'Fuel Data'!$BB$2:$BX$3,2,FALSE)+1)))))</f>
        <v>2.9525000000000003E-2</v>
      </c>
      <c r="E9" s="426">
        <f>IF(B9=Pyr!$E$9,Pyr!$D$16,IF(B9&lt;Pyr!$E$9,"",IF(B9&gt;Pyr!$D$19+Pyr!$E$9,"",0)))</f>
        <v>0</v>
      </c>
      <c r="F9" s="426">
        <f>IF(B9=Pyr!$E$9,0,IF(B9&lt;Pyr!$E$9,"",IF(B9&gt;Pyr!$D$19+Pyr!$E$9,"",Pyr!$D$16*Pyr!$D$18)))</f>
        <v>35.4</v>
      </c>
      <c r="G9" s="426">
        <f>IF($B9=Pyr!$E$9,0,IF($B9&lt;Pyr!$E$9,"",IF($B9&gt;Pyr!$D$19+Pyr!$E$9,"",IF(ISBLANK(Pyr!$C$24),D9*Pyr!$D$21*'General values'!$B$26*'CFA Pyrolysis'!M9,Pyr!$D$24*Pyr!$D$21*'General values'!$B$26*'CFA Pyrolysis'!M9))))</f>
        <v>512.26602548087317</v>
      </c>
      <c r="H9" s="426">
        <f>IF($B9=Pyr!$E$9,0,IF($B9&lt;Pyr!$E$9,"",IF($B9&gt;Pyr!$D$19+Pyr!$E$9,"",IF(Pyr!$C$27="Yes",-Pyr!$D$28*Pyr!$D$33*Pyr!$D$26,0))))</f>
        <v>0</v>
      </c>
      <c r="I9" s="426">
        <f>IF($B9=Pyr!$E$9,SUM(E9:H9),IF($B9&lt;Pyr!$E$9,"",IF($B9&gt;Pyr!$D$19+Pyr!$E$9,"",SUM(E9:H9))))</f>
        <v>547.66602548087315</v>
      </c>
      <c r="J9" s="426">
        <f>IF($B9=Pyr!$E$9,G9/(1+Pyr!$D$22)^C9,IF($B9&lt;Pyr!$E$9,"",IF($B9&gt;Pyr!$D$19+Pyr!$E$9,"",G9/(1+Pyr!$D$22)^C9)))</f>
        <v>380.8398150223482</v>
      </c>
      <c r="K9" s="426">
        <f>IF($B9=Pyr!$E$9,H9/(1+Pyr!$D$22)^C9,IF($B9&lt;Pyr!$E$9,"",IF($B9&gt;Pyr!$D$19+Pyr!$E$9,"",H9/(1+Pyr!$D$22)^C9)))</f>
        <v>0</v>
      </c>
      <c r="L9" s="426">
        <f>IF($B9=Pyr!$E$9,I9/(1+Pyr!$D$22)^C9,IF($B9&lt;Pyr!$E$9,"",IF($B9&gt;Pyr!$D$19+Pyr!$E$9,"",I9/(1+Pyr!$D$22)^C9)))</f>
        <v>407.1576436137243</v>
      </c>
      <c r="M9" s="429">
        <f>IF($B9=Pyr!$E$9,0,IF($B9&lt;Pyr!$E$9,"",IF($B9&gt;Pyr!$D$19+SMR!$E$9,"",Pyr!$D$33)))</f>
        <v>249.68496849684971</v>
      </c>
      <c r="N9" s="430">
        <f>IF($B9=Pyr!$E$9,M9/(1+Pyr!$D$22)^C9,IF($B9&lt;Pyr!$E$9,"",IF($B9&gt;Pyr!$D$19+Pyr!$E$9,"",M9/(1+Pyr!$D$22)^C9)))</f>
        <v>185.62616391930041</v>
      </c>
    </row>
    <row r="10" spans="1:14">
      <c r="B10" s="424">
        <v>2028</v>
      </c>
      <c r="C10" s="431">
        <f>IF($B10=Pyr!$E$9,B10-HOME!$A$9,IF($B10&lt;Pyr!$E$9,"",IF($B10&gt;Pyr!$D$19+Pyr!$E$9,"",B10-HOME!$A$9)))</f>
        <v>6</v>
      </c>
      <c r="D10" s="426" cm="1">
        <f t="array" ref="D10">IF(B10=Pyr!$E$9,"",IF(B10&lt;Pyr!$E$9,"",IF(B10&gt;Pyr!$D$19+Pyr!$E$9,"",IF(INDEX(Tb_Fuel[],MATCH(B10,Tb_Fuel[Year],0),HLOOKUP(Pyr!$E$8&amp;" - Gas",'Fuel Data'!$BB$2:$BX$3,2,FALSE)+1)=0,INDEX(Tb_Fuel[],MATCH(B10,Tb_Fuel[Year],0),HLOOKUP(Pyr!$E$8&amp;" - Gas",'Fuel Data'!$BB$2:$BX$3,2,FALSE)+1),INDEX(Tb_Fuel[],MATCH(B10,Tb_Fuel[Year],0),HLOOKUP(Pyr!$E$8&amp;" - Gas",'Fuel Data'!$BB$2:$BX$3,2,FALSE)+1)))))</f>
        <v>2.8674999999999999E-2</v>
      </c>
      <c r="E10" s="426">
        <f>IF(B10=Pyr!$E$9,Pyr!$D$16,IF(B10&lt;Pyr!$E$9,"",IF(B10&gt;Pyr!$D$19+Pyr!$E$9,"",0)))</f>
        <v>0</v>
      </c>
      <c r="F10" s="426">
        <f>IF(B10=Pyr!$E$9,0,IF(B10&lt;Pyr!$E$9,"",IF(B10&gt;Pyr!$D$19+Pyr!$E$9,"",Pyr!$D$16*Pyr!$D$18)))</f>
        <v>35.4</v>
      </c>
      <c r="G10" s="426">
        <f>IF($B10=Pyr!$E$9,0,IF($B10&lt;Pyr!$E$9,"",IF($B10&gt;Pyr!$D$19+Pyr!$E$9,"",IF(ISBLANK(Pyr!$C$24),D10*Pyr!$D$21*'General values'!$B$26*'CFA Pyrolysis'!M10,Pyr!$D$24*Pyr!$D$21*'General values'!$B$26*'CFA Pyrolysis'!M10))))</f>
        <v>497.5183160258776</v>
      </c>
      <c r="H10" s="426">
        <f>IF($B10=Pyr!$E$9,0,IF($B10&lt;Pyr!$E$9,"",IF($B10&gt;Pyr!$D$19+Pyr!$E$9,"",IF(Pyr!$C$27="Yes",-Pyr!$D$28*Pyr!$D$33*Pyr!$D$26,0))))</f>
        <v>0</v>
      </c>
      <c r="I10" s="426">
        <f>IF($B10=Pyr!$E$9,SUM(E10:H10),IF($B10&lt;Pyr!$E$9,"",IF($B10&gt;Pyr!$D$19+Pyr!$E$9,"",SUM(E10:H10))))</f>
        <v>532.91831602587763</v>
      </c>
      <c r="J10" s="426">
        <f>IF($B10=Pyr!$E$9,G10/(1+Pyr!$D$22)^C10,IF($B10&lt;Pyr!$E$9,"",IF($B10&gt;Pyr!$D$19+Pyr!$E$9,"",G10/(1+Pyr!$D$22)^C10)))</f>
        <v>348.58221420932847</v>
      </c>
      <c r="K10" s="426">
        <f>IF($B10=Pyr!$E$9,H10/(1+Pyr!$D$22)^C10,IF($B10&lt;Pyr!$E$9,"",IF($B10&gt;Pyr!$D$19+Pyr!$E$9,"",H10/(1+Pyr!$D$22)^C10)))</f>
        <v>0</v>
      </c>
      <c r="L10" s="426">
        <f>IF($B10=Pyr!$E$9,I10/(1+Pyr!$D$22)^C10,IF($B10&lt;Pyr!$E$9,"",IF($B10&gt;Pyr!$D$19+Pyr!$E$9,"",I10/(1+Pyr!$D$22)^C10)))</f>
        <v>373.38494002971498</v>
      </c>
      <c r="M10" s="429">
        <f>IF($B10=Pyr!$E$9,0,IF($B10&lt;Pyr!$E$9,"",IF($B10&gt;Pyr!$D$19+SMR!$E$9,"",Pyr!$D$33)))</f>
        <v>249.68496849684971</v>
      </c>
      <c r="N10" s="430">
        <f>IF($B10=Pyr!$E$9,M10/(1+Pyr!$D$22)^C10,IF($B10&lt;Pyr!$E$9,"",IF($B10&gt;Pyr!$D$19+Pyr!$E$9,"",M10/(1+Pyr!$D$22)^C10)))</f>
        <v>174.93976878811287</v>
      </c>
    </row>
    <row r="11" spans="1:14">
      <c r="B11" s="424">
        <v>2029</v>
      </c>
      <c r="C11" s="431">
        <f>IF($B11=Pyr!$E$9,B11-HOME!$A$9,IF($B11&lt;Pyr!$E$9,"",IF($B11&gt;Pyr!$D$19+Pyr!$E$9,"",B11-HOME!$A$9)))</f>
        <v>7</v>
      </c>
      <c r="D11" s="426" cm="1">
        <f t="array" ref="D11">IF(B11=Pyr!$E$9,"",IF(B11&lt;Pyr!$E$9,"",IF(B11&gt;Pyr!$D$19+Pyr!$E$9,"",IF(INDEX(Tb_Fuel[],MATCH(B11,Tb_Fuel[Year],0),HLOOKUP(Pyr!$E$8&amp;" - Gas",'Fuel Data'!$BB$2:$BX$3,2,FALSE)+1)=0,INDEX(Tb_Fuel[],MATCH(B11,Tb_Fuel[Year],0),HLOOKUP(Pyr!$E$8&amp;" - Gas",'Fuel Data'!$BB$2:$BX$3,2,FALSE)+1),INDEX(Tb_Fuel[],MATCH(B11,Tb_Fuel[Year],0),HLOOKUP(Pyr!$E$8&amp;" - Gas",'Fuel Data'!$BB$2:$BX$3,2,FALSE)+1)))))</f>
        <v>2.845E-2</v>
      </c>
      <c r="E11" s="426">
        <f>IF(B11=Pyr!$E$9,Pyr!$D$16,IF(B11&lt;Pyr!$E$9,"",IF(B11&gt;Pyr!$D$19+Pyr!$E$9,"",0)))</f>
        <v>0</v>
      </c>
      <c r="F11" s="426">
        <f>IF(B11=Pyr!$E$9,0,IF(B11&lt;Pyr!$E$9,"",IF(B11&gt;Pyr!$D$19+Pyr!$E$9,"",Pyr!$D$16*Pyr!$D$18)))</f>
        <v>35.4</v>
      </c>
      <c r="G11" s="426">
        <f>IF($B11=Pyr!$E$9,0,IF($B11&lt;Pyr!$E$9,"",IF($B11&gt;Pyr!$D$19+Pyr!$E$9,"",IF(ISBLANK(Pyr!$C$24),D11*Pyr!$D$21*'General values'!$B$26*'CFA Pyrolysis'!M11,Pyr!$D$24*Pyr!$D$21*'General values'!$B$26*'CFA Pyrolysis'!M11))))</f>
        <v>493.61451058190818</v>
      </c>
      <c r="H11" s="426">
        <f>IF($B11=Pyr!$E$9,0,IF($B11&lt;Pyr!$E$9,"",IF($B11&gt;Pyr!$D$19+Pyr!$E$9,"",IF(Pyr!$C$27="Yes",-Pyr!$D$28*Pyr!$D$33*Pyr!$D$26,0))))</f>
        <v>0</v>
      </c>
      <c r="I11" s="426">
        <f>IF($B11=Pyr!$E$9,SUM(E11:H11),IF($B11&lt;Pyr!$E$9,"",IF($B11&gt;Pyr!$D$19+Pyr!$E$9,"",SUM(E11:H11))))</f>
        <v>529.01451058190821</v>
      </c>
      <c r="J11" s="426">
        <f>IF($B11=Pyr!$E$9,G11/(1+Pyr!$D$22)^C11,IF($B11&lt;Pyr!$E$9,"",IF($B11&gt;Pyr!$D$19+Pyr!$E$9,"",G11/(1+Pyr!$D$22)^C11)))</f>
        <v>325.93682206248178</v>
      </c>
      <c r="K11" s="426">
        <f>IF($B11=Pyr!$E$9,H11/(1+Pyr!$D$22)^C11,IF($B11&lt;Pyr!$E$9,"",IF($B11&gt;Pyr!$D$19+Pyr!$E$9,"",H11/(1+Pyr!$D$22)^C11)))</f>
        <v>0</v>
      </c>
      <c r="L11" s="426">
        <f>IF($B11=Pyr!$E$9,I11/(1+Pyr!$D$22)^C11,IF($B11&lt;Pyr!$E$9,"",IF($B11&gt;Pyr!$D$19+Pyr!$E$9,"",I11/(1+Pyr!$D$22)^C11)))</f>
        <v>349.3116687366807</v>
      </c>
      <c r="M11" s="429">
        <f>IF($B11=Pyr!$E$9,0,IF($B11&lt;Pyr!$E$9,"",IF($B11&gt;Pyr!$D$19+SMR!$E$9,"",Pyr!$D$33)))</f>
        <v>249.68496849684971</v>
      </c>
      <c r="N11" s="430">
        <f>IF($B11=Pyr!$E$9,M11/(1+Pyr!$D$22)^C11,IF($B11&lt;Pyr!$E$9,"",IF($B11&gt;Pyr!$D$19+Pyr!$E$9,"",M11/(1+Pyr!$D$22)^C11)))</f>
        <v>164.86858348774166</v>
      </c>
    </row>
    <row r="12" spans="1:14">
      <c r="B12" s="424">
        <v>2030</v>
      </c>
      <c r="C12" s="431">
        <f>IF($B12=Pyr!$E$9,B12-HOME!$A$9,IF($B12&lt;Pyr!$E$9,"",IF($B12&gt;Pyr!$D$19+Pyr!$E$9,"",B12-HOME!$A$9)))</f>
        <v>8</v>
      </c>
      <c r="D12" s="426" cm="1">
        <f t="array" ref="D12">IF(B12=Pyr!$E$9,"",IF(B12&lt;Pyr!$E$9,"",IF(B12&gt;Pyr!$D$19+Pyr!$E$9,"",IF(INDEX(Tb_Fuel[],MATCH(B12,Tb_Fuel[Year],0),HLOOKUP(Pyr!$E$8&amp;" - Gas",'Fuel Data'!$BB$2:$BX$3,2,FALSE)+1)=0,INDEX(Tb_Fuel[],MATCH(B12,Tb_Fuel[Year],0),HLOOKUP(Pyr!$E$8&amp;" - Gas",'Fuel Data'!$BB$2:$BX$3,2,FALSE)+1),INDEX(Tb_Fuel[],MATCH(B12,Tb_Fuel[Year],0),HLOOKUP(Pyr!$E$8&amp;" - Gas",'Fuel Data'!$BB$2:$BX$3,2,FALSE)+1)))))</f>
        <v>2.8250000000000001E-2</v>
      </c>
      <c r="E12" s="426">
        <f>IF(B12=Pyr!$E$9,Pyr!$D$16,IF(B12&lt;Pyr!$E$9,"",IF(B12&gt;Pyr!$D$19+Pyr!$E$9,"",0)))</f>
        <v>0</v>
      </c>
      <c r="F12" s="426">
        <f>IF(B12=Pyr!$E$9,0,IF(B12&lt;Pyr!$E$9,"",IF(B12&gt;Pyr!$D$19+Pyr!$E$9,"",Pyr!$D$16*Pyr!$D$18)))</f>
        <v>35.4</v>
      </c>
      <c r="G12" s="426">
        <f>IF($B12=Pyr!$E$9,0,IF($B12&lt;Pyr!$E$9,"",IF($B12&gt;Pyr!$D$19+Pyr!$E$9,"",IF(ISBLANK(Pyr!$C$24),D12*Pyr!$D$21*'General values'!$B$26*'CFA Pyrolysis'!M12,Pyr!$D$24*Pyr!$D$21*'General values'!$B$26*'CFA Pyrolysis'!M12))))</f>
        <v>490.14446129837984</v>
      </c>
      <c r="H12" s="426">
        <f>IF($B12=Pyr!$E$9,0,IF($B12&lt;Pyr!$E$9,"",IF($B12&gt;Pyr!$D$19+Pyr!$E$9,"",IF(Pyr!$C$27="Yes",-Pyr!$D$28*Pyr!$D$33*Pyr!$D$26,0))))</f>
        <v>0</v>
      </c>
      <c r="I12" s="426">
        <f>IF($B12=Pyr!$E$9,SUM(E12:H12),IF($B12&lt;Pyr!$E$9,"",IF($B12&gt;Pyr!$D$19+Pyr!$E$9,"",SUM(E12:H12))))</f>
        <v>525.54446129837982</v>
      </c>
      <c r="J12" s="426">
        <f>IF($B12=Pyr!$E$9,G12/(1+Pyr!$D$22)^C12,IF($B12&lt;Pyr!$E$9,"",IF($B12&gt;Pyr!$D$19+Pyr!$E$9,"",G12/(1+Pyr!$D$22)^C12)))</f>
        <v>305.0134331549765</v>
      </c>
      <c r="K12" s="426">
        <f>IF($B12=Pyr!$E$9,H12/(1+Pyr!$D$22)^C12,IF($B12&lt;Pyr!$E$9,"",IF($B12&gt;Pyr!$D$19+Pyr!$E$9,"",H12/(1+Pyr!$D$22)^C12)))</f>
        <v>0</v>
      </c>
      <c r="L12" s="426">
        <f>IF($B12=Pyr!$E$9,I12/(1+Pyr!$D$22)^C12,IF($B12&lt;Pyr!$E$9,"",IF($B12&gt;Pyr!$D$19+Pyr!$E$9,"",I12/(1+Pyr!$D$22)^C12)))</f>
        <v>327.04260289216774</v>
      </c>
      <c r="M12" s="429">
        <f>IF($B12=Pyr!$E$9,0,IF($B12&lt;Pyr!$E$9,"",IF($B12&gt;Pyr!$D$19+SMR!$E$9,"",Pyr!$D$33)))</f>
        <v>249.68496849684971</v>
      </c>
      <c r="N12" s="430">
        <f>IF($B12=Pyr!$E$9,M12/(1+Pyr!$D$22)^C12,IF($B12&lt;Pyr!$E$9,"",IF($B12&gt;Pyr!$D$19+Pyr!$E$9,"",M12/(1+Pyr!$D$22)^C12)))</f>
        <v>155.37719073000983</v>
      </c>
    </row>
    <row r="13" spans="1:14">
      <c r="B13" s="424">
        <v>2031</v>
      </c>
      <c r="C13" s="431">
        <f>IF($B13=Pyr!$E$9,B13-HOME!$A$9,IF($B13&lt;Pyr!$E$9,"",IF($B13&gt;Pyr!$D$19+Pyr!$E$9,"",B13-HOME!$A$9)))</f>
        <v>9</v>
      </c>
      <c r="D13" s="426" cm="1">
        <f t="array" ref="D13">IF(B13=Pyr!$E$9,"",IF(B13&lt;Pyr!$E$9,"",IF(B13&gt;Pyr!$D$19+Pyr!$E$9,"",IF(INDEX(Tb_Fuel[],MATCH(B13,Tb_Fuel[Year],0),HLOOKUP(Pyr!$E$8&amp;" - Gas",'Fuel Data'!$BB$2:$BX$3,2,FALSE)+1)=0,INDEX(Tb_Fuel[],MATCH(B13,Tb_Fuel[Year],0),HLOOKUP(Pyr!$E$8&amp;" - Gas",'Fuel Data'!$BB$2:$BX$3,2,FALSE)+1),INDEX(Tb_Fuel[],MATCH(B13,Tb_Fuel[Year],0),HLOOKUP(Pyr!$E$8&amp;" - Gas",'Fuel Data'!$BB$2:$BX$3,2,FALSE)+1)))))</f>
        <v>2.8250000000000001E-2</v>
      </c>
      <c r="E13" s="426">
        <f>IF(B13=Pyr!$E$9,Pyr!$D$16,IF(B13&lt;Pyr!$E$9,"",IF(B13&gt;Pyr!$D$19+Pyr!$E$9,"",0)))</f>
        <v>0</v>
      </c>
      <c r="F13" s="426">
        <f>IF(B13=Pyr!$E$9,0,IF(B13&lt;Pyr!$E$9,"",IF(B13&gt;Pyr!$D$19+Pyr!$E$9,"",Pyr!$D$16*Pyr!$D$18)))</f>
        <v>35.4</v>
      </c>
      <c r="G13" s="426">
        <f>IF($B13=Pyr!$E$9,0,IF($B13&lt;Pyr!$E$9,"",IF($B13&gt;Pyr!$D$19+Pyr!$E$9,"",IF(ISBLANK(Pyr!$C$24),D13*Pyr!$D$21*'General values'!$B$26*'CFA Pyrolysis'!M13,Pyr!$D$24*Pyr!$D$21*'General values'!$B$26*'CFA Pyrolysis'!M13))))</f>
        <v>490.14446129837984</v>
      </c>
      <c r="H13" s="426">
        <f>IF($B13=Pyr!$E$9,0,IF($B13&lt;Pyr!$E$9,"",IF($B13&gt;Pyr!$D$19+Pyr!$E$9,"",IF(Pyr!$C$27="Yes",-Pyr!$D$28*Pyr!$D$33*Pyr!$D$26,0))))</f>
        <v>0</v>
      </c>
      <c r="I13" s="426">
        <f>IF($B13=Pyr!$E$9,SUM(E13:H13),IF($B13&lt;Pyr!$E$9,"",IF($B13&gt;Pyr!$D$19+Pyr!$E$9,"",SUM(E13:H13))))</f>
        <v>525.54446129837982</v>
      </c>
      <c r="J13" s="426">
        <f>IF($B13=Pyr!$E$9,G13/(1+Pyr!$D$22)^C13,IF($B13&lt;Pyr!$E$9,"",IF($B13&gt;Pyr!$D$19+Pyr!$E$9,"",G13/(1+Pyr!$D$22)^C13)))</f>
        <v>287.45397926015181</v>
      </c>
      <c r="K13" s="426">
        <f>IF($B13=Pyr!$E$9,H13/(1+Pyr!$D$22)^C13,IF($B13&lt;Pyr!$E$9,"",IF($B13&gt;Pyr!$D$19+Pyr!$E$9,"",H13/(1+Pyr!$D$22)^C13)))</f>
        <v>0</v>
      </c>
      <c r="L13" s="426">
        <f>IF($B13=Pyr!$E$9,I13/(1+Pyr!$D$22)^C13,IF($B13&lt;Pyr!$E$9,"",IF($B13&gt;Pyr!$D$19+Pyr!$E$9,"",I13/(1+Pyr!$D$22)^C13)))</f>
        <v>308.21494193400054</v>
      </c>
      <c r="M13" s="429">
        <f>IF($B13=Pyr!$E$9,0,IF($B13&lt;Pyr!$E$9,"",IF($B13&gt;Pyr!$D$19+SMR!$E$9,"",Pyr!$D$33)))</f>
        <v>249.68496849684971</v>
      </c>
      <c r="N13" s="430">
        <f>IF($B13=Pyr!$E$9,M13/(1+Pyr!$D$22)^C13,IF($B13&lt;Pyr!$E$9,"",IF($B13&gt;Pyr!$D$19+Pyr!$E$9,"",M13/(1+Pyr!$D$22)^C13)))</f>
        <v>146.43221218034466</v>
      </c>
    </row>
    <row r="14" spans="1:14">
      <c r="B14" s="424">
        <v>2032</v>
      </c>
      <c r="C14" s="431">
        <f>IF($B14=Pyr!$E$9,B14-HOME!$A$9,IF($B14&lt;Pyr!$E$9,"",IF($B14&gt;Pyr!$D$19+Pyr!$E$9,"",B14-HOME!$A$9)))</f>
        <v>10</v>
      </c>
      <c r="D14" s="426" cm="1">
        <f t="array" ref="D14">IF(B14=Pyr!$E$9,"",IF(B14&lt;Pyr!$E$9,"",IF(B14&gt;Pyr!$D$19+Pyr!$E$9,"",IF(INDEX(Tb_Fuel[],MATCH(B14,Tb_Fuel[Year],0),HLOOKUP(Pyr!$E$8&amp;" - Gas",'Fuel Data'!$BB$2:$BX$3,2,FALSE)+1)=0,INDEX(Tb_Fuel[],MATCH(B14,Tb_Fuel[Year],0),HLOOKUP(Pyr!$E$8&amp;" - Gas",'Fuel Data'!$BB$2:$BX$3,2,FALSE)+1),INDEX(Tb_Fuel[],MATCH(B14,Tb_Fuel[Year],0),HLOOKUP(Pyr!$E$8&amp;" - Gas",'Fuel Data'!$BB$2:$BX$3,2,FALSE)+1)))))</f>
        <v>2.8250000000000001E-2</v>
      </c>
      <c r="E14" s="426">
        <f>IF(B14=Pyr!$E$9,Pyr!$D$16,IF(B14&lt;Pyr!$E$9,"",IF(B14&gt;Pyr!$D$19+Pyr!$E$9,"",0)))</f>
        <v>0</v>
      </c>
      <c r="F14" s="426">
        <f>IF(B14=Pyr!$E$9,0,IF(B14&lt;Pyr!$E$9,"",IF(B14&gt;Pyr!$D$19+Pyr!$E$9,"",Pyr!$D$16*Pyr!$D$18)))</f>
        <v>35.4</v>
      </c>
      <c r="G14" s="426">
        <f>IF($B14=Pyr!$E$9,0,IF($B14&lt;Pyr!$E$9,"",IF($B14&gt;Pyr!$D$19+Pyr!$E$9,"",IF(ISBLANK(Pyr!$C$24),D14*Pyr!$D$21*'General values'!$B$26*'CFA Pyrolysis'!M14,Pyr!$D$24*Pyr!$D$21*'General values'!$B$26*'CFA Pyrolysis'!M14))))</f>
        <v>490.14446129837984</v>
      </c>
      <c r="H14" s="426">
        <f>IF($B14=Pyr!$E$9,0,IF($B14&lt;Pyr!$E$9,"",IF($B14&gt;Pyr!$D$19+Pyr!$E$9,"",IF(Pyr!$C$27="Yes",-Pyr!$D$28*Pyr!$D$33*Pyr!$D$26,0))))</f>
        <v>0</v>
      </c>
      <c r="I14" s="426">
        <f>IF($B14=Pyr!$E$9,SUM(E14:H14),IF($B14&lt;Pyr!$E$9,"",IF($B14&gt;Pyr!$D$19+Pyr!$E$9,"",SUM(E14:H14))))</f>
        <v>525.54446129837982</v>
      </c>
      <c r="J14" s="426">
        <f>IF($B14=Pyr!$E$9,G14/(1+Pyr!$D$22)^C14,IF($B14&lt;Pyr!$E$9,"",IF($B14&gt;Pyr!$D$19+Pyr!$E$9,"",G14/(1+Pyr!$D$22)^C14)))</f>
        <v>270.90541337079998</v>
      </c>
      <c r="K14" s="426">
        <f>IF($B14=Pyr!$E$9,H14/(1+Pyr!$D$22)^C14,IF($B14&lt;Pyr!$E$9,"",IF($B14&gt;Pyr!$D$19+Pyr!$E$9,"",H14/(1+Pyr!$D$22)^C14)))</f>
        <v>0</v>
      </c>
      <c r="L14" s="426">
        <f>IF($B14=Pyr!$E$9,I14/(1+Pyr!$D$22)^C14,IF($B14&lt;Pyr!$E$9,"",IF($B14&gt;Pyr!$D$19+Pyr!$E$9,"",I14/(1+Pyr!$D$22)^C14)))</f>
        <v>290.47117895738342</v>
      </c>
      <c r="M14" s="429">
        <f>IF($B14=Pyr!$E$9,0,IF($B14&lt;Pyr!$E$9,"",IF($B14&gt;Pyr!$D$19+SMR!$E$9,"",Pyr!$D$33)))</f>
        <v>249.68496849684971</v>
      </c>
      <c r="N14" s="430">
        <f>IF($B14=Pyr!$E$9,M14/(1+Pyr!$D$22)^C14,IF($B14&lt;Pyr!$E$9,"",IF($B14&gt;Pyr!$D$19+Pyr!$E$9,"",M14/(1+Pyr!$D$22)^C14)))</f>
        <v>138.00219107635121</v>
      </c>
    </row>
    <row r="15" spans="1:14">
      <c r="B15" s="424">
        <v>2033</v>
      </c>
      <c r="C15" s="431">
        <f>IF($B15=Pyr!$E$9,B15-HOME!$A$9,IF($B15&lt;Pyr!$E$9,"",IF($B15&gt;Pyr!$D$19+Pyr!$E$9,"",B15-HOME!$A$9)))</f>
        <v>11</v>
      </c>
      <c r="D15" s="426" cm="1">
        <f t="array" ref="D15">IF(B15=Pyr!$E$9,"",IF(B15&lt;Pyr!$E$9,"",IF(B15&gt;Pyr!$D$19+Pyr!$E$9,"",IF(INDEX(Tb_Fuel[],MATCH(B15,Tb_Fuel[Year],0),HLOOKUP(Pyr!$E$8&amp;" - Gas",'Fuel Data'!$BB$2:$BX$3,2,FALSE)+1)=0,INDEX(Tb_Fuel[],MATCH(B15,Tb_Fuel[Year],0),HLOOKUP(Pyr!$E$8&amp;" - Gas",'Fuel Data'!$BB$2:$BX$3,2,FALSE)+1),INDEX(Tb_Fuel[],MATCH(B15,Tb_Fuel[Year],0),HLOOKUP(Pyr!$E$8&amp;" - Gas",'Fuel Data'!$BB$2:$BX$3,2,FALSE)+1)))))</f>
        <v>2.8250000000000001E-2</v>
      </c>
      <c r="E15" s="426">
        <f>IF(B15=Pyr!$E$9,Pyr!$D$16,IF(B15&lt;Pyr!$E$9,"",IF(B15&gt;Pyr!$D$19+Pyr!$E$9,"",0)))</f>
        <v>0</v>
      </c>
      <c r="F15" s="426">
        <f>IF(B15=Pyr!$E$9,0,IF(B15&lt;Pyr!$E$9,"",IF(B15&gt;Pyr!$D$19+Pyr!$E$9,"",Pyr!$D$16*Pyr!$D$18)))</f>
        <v>35.4</v>
      </c>
      <c r="G15" s="426">
        <f>IF($B15=Pyr!$E$9,0,IF($B15&lt;Pyr!$E$9,"",IF($B15&gt;Pyr!$D$19+Pyr!$E$9,"",IF(ISBLANK(Pyr!$C$24),D15*Pyr!$D$21*'General values'!$B$26*'CFA Pyrolysis'!M15,Pyr!$D$24*Pyr!$D$21*'General values'!$B$26*'CFA Pyrolysis'!M15))))</f>
        <v>490.14446129837984</v>
      </c>
      <c r="H15" s="426">
        <f>IF($B15=Pyr!$E$9,0,IF($B15&lt;Pyr!$E$9,"",IF($B15&gt;Pyr!$D$19+Pyr!$E$9,"",IF(Pyr!$C$27="Yes",-Pyr!$D$28*Pyr!$D$33*Pyr!$D$26,0))))</f>
        <v>0</v>
      </c>
      <c r="I15" s="426">
        <f>IF($B15=Pyr!$E$9,SUM(E15:H15),IF($B15&lt;Pyr!$E$9,"",IF($B15&gt;Pyr!$D$19+Pyr!$E$9,"",SUM(E15:H15))))</f>
        <v>525.54446129837982</v>
      </c>
      <c r="J15" s="426">
        <f>IF($B15=Pyr!$E$9,G15/(1+Pyr!$D$22)^C15,IF($B15&lt;Pyr!$E$9,"",IF($B15&gt;Pyr!$D$19+Pyr!$E$9,"",G15/(1+Pyr!$D$22)^C15)))</f>
        <v>255.30953922605042</v>
      </c>
      <c r="K15" s="426">
        <f>IF($B15=Pyr!$E$9,H15/(1+Pyr!$D$22)^C15,IF($B15&lt;Pyr!$E$9,"",IF($B15&gt;Pyr!$D$19+Pyr!$E$9,"",H15/(1+Pyr!$D$22)^C15)))</f>
        <v>0</v>
      </c>
      <c r="L15" s="426">
        <f>IF($B15=Pyr!$E$9,I15/(1+Pyr!$D$22)^C15,IF($B15&lt;Pyr!$E$9,"",IF($B15&gt;Pyr!$D$19+Pyr!$E$9,"",I15/(1+Pyr!$D$22)^C15)))</f>
        <v>273.74891455768397</v>
      </c>
      <c r="M15" s="429">
        <f>IF($B15=Pyr!$E$9,0,IF($B15&lt;Pyr!$E$9,"",IF($B15&gt;Pyr!$D$19+SMR!$E$9,"",Pyr!$D$33)))</f>
        <v>249.68496849684971</v>
      </c>
      <c r="N15" s="430">
        <f>IF($B15=Pyr!$E$9,M15/(1+Pyr!$D$22)^C15,IF($B15&lt;Pyr!$E$9,"",IF($B15&gt;Pyr!$D$19+Pyr!$E$9,"",M15/(1+Pyr!$D$22)^C15)))</f>
        <v>130.05748160396956</v>
      </c>
    </row>
    <row r="16" spans="1:14">
      <c r="B16" s="424">
        <v>2034</v>
      </c>
      <c r="C16" s="431">
        <f>IF($B16=Pyr!$E$9,B16-HOME!$A$9,IF($B16&lt;Pyr!$E$9,"",IF($B16&gt;Pyr!$D$19+Pyr!$E$9,"",B16-HOME!$A$9)))</f>
        <v>12</v>
      </c>
      <c r="D16" s="426" cm="1">
        <f t="array" ref="D16">IF(B16=Pyr!$E$9,"",IF(B16&lt;Pyr!$E$9,"",IF(B16&gt;Pyr!$D$19+Pyr!$E$9,"",IF(INDEX(Tb_Fuel[],MATCH(B16,Tb_Fuel[Year],0),HLOOKUP(Pyr!$E$8&amp;" - Gas",'Fuel Data'!$BB$2:$BX$3,2,FALSE)+1)=0,INDEX(Tb_Fuel[],MATCH(B16,Tb_Fuel[Year],0),HLOOKUP(Pyr!$E$8&amp;" - Gas",'Fuel Data'!$BB$2:$BX$3,2,FALSE)+1),INDEX(Tb_Fuel[],MATCH(B16,Tb_Fuel[Year],0),HLOOKUP(Pyr!$E$8&amp;" - Gas",'Fuel Data'!$BB$2:$BX$3,2,FALSE)+1)))))</f>
        <v>2.8250000000000001E-2</v>
      </c>
      <c r="E16" s="426">
        <f>IF(B16=Pyr!$E$9,Pyr!$D$16,IF(B16&lt;Pyr!$E$9,"",IF(B16&gt;Pyr!$D$19+Pyr!$E$9,"",0)))</f>
        <v>0</v>
      </c>
      <c r="F16" s="426">
        <f>IF(B16=Pyr!$E$9,0,IF(B16&lt;Pyr!$E$9,"",IF(B16&gt;Pyr!$D$19+Pyr!$E$9,"",Pyr!$D$16*Pyr!$D$18)))</f>
        <v>35.4</v>
      </c>
      <c r="G16" s="426">
        <f>IF($B16=Pyr!$E$9,0,IF($B16&lt;Pyr!$E$9,"",IF($B16&gt;Pyr!$D$19+Pyr!$E$9,"",IF(ISBLANK(Pyr!$C$24),D16*Pyr!$D$21*'General values'!$B$26*'CFA Pyrolysis'!M16,Pyr!$D$24*Pyr!$D$21*'General values'!$B$26*'CFA Pyrolysis'!M16))))</f>
        <v>490.14446129837984</v>
      </c>
      <c r="H16" s="426">
        <f>IF($B16=Pyr!$E$9,0,IF($B16&lt;Pyr!$E$9,"",IF($B16&gt;Pyr!$D$19+Pyr!$E$9,"",IF(Pyr!$C$27="Yes",-Pyr!$D$28*Pyr!$D$33*Pyr!$D$26,0))))</f>
        <v>0</v>
      </c>
      <c r="I16" s="426">
        <f>IF($B16=Pyr!$E$9,SUM(E16:H16),IF($B16&lt;Pyr!$E$9,"",IF($B16&gt;Pyr!$D$19+Pyr!$E$9,"",SUM(E16:H16))))</f>
        <v>525.54446129837982</v>
      </c>
      <c r="J16" s="426">
        <f>IF($B16=Pyr!$E$9,G16/(1+Pyr!$D$22)^C16,IF($B16&lt;Pyr!$E$9,"",IF($B16&gt;Pyr!$D$19+Pyr!$E$9,"",G16/(1+Pyr!$D$22)^C16)))</f>
        <v>240.61151089143959</v>
      </c>
      <c r="K16" s="426">
        <f>IF($B16=Pyr!$E$9,H16/(1+Pyr!$D$22)^C16,IF($B16&lt;Pyr!$E$9,"",IF($B16&gt;Pyr!$D$19+Pyr!$E$9,"",H16/(1+Pyr!$D$22)^C16)))</f>
        <v>0</v>
      </c>
      <c r="L16" s="426">
        <f>IF($B16=Pyr!$E$9,I16/(1+Pyr!$D$22)^C16,IF($B16&lt;Pyr!$E$9,"",IF($B16&gt;Pyr!$D$19+Pyr!$E$9,"",I16/(1+Pyr!$D$22)^C16)))</f>
        <v>257.98934162932846</v>
      </c>
      <c r="M16" s="429">
        <f>IF($B16=Pyr!$E$9,0,IF($B16&lt;Pyr!$E$9,"",IF($B16&gt;Pyr!$D$19+SMR!$E$9,"",Pyr!$D$33)))</f>
        <v>249.68496849684971</v>
      </c>
      <c r="N16" s="430">
        <f>IF($B16=Pyr!$E$9,M16/(1+Pyr!$D$22)^C16,IF($B16&lt;Pyr!$E$9,"",IF($B16&gt;Pyr!$D$19+Pyr!$E$9,"",M16/(1+Pyr!$D$22)^C16)))</f>
        <v>122.5701446421855</v>
      </c>
    </row>
    <row r="17" spans="2:14">
      <c r="B17" s="424">
        <v>2035</v>
      </c>
      <c r="C17" s="431">
        <f>IF($B17=Pyr!$E$9,B17-HOME!$A$9,IF($B17&lt;Pyr!$E$9,"",IF($B17&gt;Pyr!$D$19+Pyr!$E$9,"",B17-HOME!$A$9)))</f>
        <v>13</v>
      </c>
      <c r="D17" s="426" cm="1">
        <f t="array" ref="D17">IF(B17=Pyr!$E$9,"",IF(B17&lt;Pyr!$E$9,"",IF(B17&gt;Pyr!$D$19+Pyr!$E$9,"",IF(INDEX(Tb_Fuel[],MATCH(B17,Tb_Fuel[Year],0),HLOOKUP(Pyr!$E$8&amp;" - Gas",'Fuel Data'!$BB$2:$BX$3,2,FALSE)+1)=0,INDEX(Tb_Fuel[],MATCH(B17,Tb_Fuel[Year],0),HLOOKUP(Pyr!$E$8&amp;" - Gas",'Fuel Data'!$BB$2:$BX$3,2,FALSE)+1),INDEX(Tb_Fuel[],MATCH(B17,Tb_Fuel[Year],0),HLOOKUP(Pyr!$E$8&amp;" - Gas",'Fuel Data'!$BB$2:$BX$3,2,FALSE)+1)))))</f>
        <v>2.8250000000000001E-2</v>
      </c>
      <c r="E17" s="426">
        <f>IF(B17=Pyr!$E$9,Pyr!$D$16,IF(B17&lt;Pyr!$E$9,"",IF(B17&gt;Pyr!$D$19+Pyr!$E$9,"",0)))</f>
        <v>0</v>
      </c>
      <c r="F17" s="426">
        <f>IF(B17=Pyr!$E$9,0,IF(B17&lt;Pyr!$E$9,"",IF(B17&gt;Pyr!$D$19+Pyr!$E$9,"",Pyr!$D$16*Pyr!$D$18)))</f>
        <v>35.4</v>
      </c>
      <c r="G17" s="426">
        <f>IF($B17=Pyr!$E$9,0,IF($B17&lt;Pyr!$E$9,"",IF($B17&gt;Pyr!$D$19+Pyr!$E$9,"",IF(ISBLANK(Pyr!$C$24),D17*Pyr!$D$21*'General values'!$B$26*'CFA Pyrolysis'!M17,Pyr!$D$24*Pyr!$D$21*'General values'!$B$26*'CFA Pyrolysis'!M17))))</f>
        <v>490.14446129837984</v>
      </c>
      <c r="H17" s="426">
        <f>IF($B17=Pyr!$E$9,0,IF($B17&lt;Pyr!$E$9,"",IF($B17&gt;Pyr!$D$19+Pyr!$E$9,"",IF(Pyr!$C$27="Yes",-Pyr!$D$28*Pyr!$D$33*Pyr!$D$26,0))))</f>
        <v>0</v>
      </c>
      <c r="I17" s="426">
        <f>IF($B17=Pyr!$E$9,SUM(E17:H17),IF($B17&lt;Pyr!$E$9,"",IF($B17&gt;Pyr!$D$19+Pyr!$E$9,"",SUM(E17:H17))))</f>
        <v>525.54446129837982</v>
      </c>
      <c r="J17" s="426">
        <f>IF($B17=Pyr!$E$9,G17/(1+Pyr!$D$22)^C17,IF($B17&lt;Pyr!$E$9,"",IF($B17&gt;Pyr!$D$19+Pyr!$E$9,"",G17/(1+Pyr!$D$22)^C17)))</f>
        <v>226.759639882481</v>
      </c>
      <c r="K17" s="426">
        <f>IF($B17=Pyr!$E$9,H17/(1+Pyr!$D$22)^C17,IF($B17&lt;Pyr!$E$9,"",IF($B17&gt;Pyr!$D$19+Pyr!$E$9,"",H17/(1+Pyr!$D$22)^C17)))</f>
        <v>0</v>
      </c>
      <c r="L17" s="426">
        <f>IF($B17=Pyr!$E$9,I17/(1+Pyr!$D$22)^C17,IF($B17&lt;Pyr!$E$9,"",IF($B17&gt;Pyr!$D$19+Pyr!$E$9,"",I17/(1+Pyr!$D$22)^C17)))</f>
        <v>243.13703855914</v>
      </c>
      <c r="M17" s="429">
        <f>IF($B17=Pyr!$E$9,0,IF($B17&lt;Pyr!$E$9,"",IF($B17&gt;Pyr!$D$19+SMR!$E$9,"",Pyr!$D$33)))</f>
        <v>249.68496849684971</v>
      </c>
      <c r="N17" s="430">
        <f>IF($B17=Pyr!$E$9,M17/(1+Pyr!$D$22)^C17,IF($B17&lt;Pyr!$E$9,"",IF($B17&gt;Pyr!$D$19+Pyr!$E$9,"",M17/(1+Pyr!$D$22)^C17)))</f>
        <v>115.51384950965966</v>
      </c>
    </row>
    <row r="18" spans="2:14">
      <c r="B18" s="424">
        <v>2036</v>
      </c>
      <c r="C18" s="431">
        <f>IF($B18=Pyr!$E$9,B18-HOME!$A$9,IF($B18&lt;Pyr!$E$9,"",IF($B18&gt;Pyr!$D$19+Pyr!$E$9,"",B18-HOME!$A$9)))</f>
        <v>14</v>
      </c>
      <c r="D18" s="426" cm="1">
        <f t="array" ref="D18">IF(B18=Pyr!$E$9,"",IF(B18&lt;Pyr!$E$9,"",IF(B18&gt;Pyr!$D$19+Pyr!$E$9,"",IF(INDEX(Tb_Fuel[],MATCH(B18,Tb_Fuel[Year],0),HLOOKUP(Pyr!$E$8&amp;" - Gas",'Fuel Data'!$BB$2:$BX$3,2,FALSE)+1)=0,INDEX(Tb_Fuel[],MATCH(B18,Tb_Fuel[Year],0),HLOOKUP(Pyr!$E$8&amp;" - Gas",'Fuel Data'!$BB$2:$BX$3,2,FALSE)+1),INDEX(Tb_Fuel[],MATCH(B18,Tb_Fuel[Year],0),HLOOKUP(Pyr!$E$8&amp;" - Gas",'Fuel Data'!$BB$2:$BX$3,2,FALSE)+1)))))</f>
        <v>2.8250000000000001E-2</v>
      </c>
      <c r="E18" s="426">
        <f>IF(B18=Pyr!$E$9,Pyr!$D$16,IF(B18&lt;Pyr!$E$9,"",IF(B18&gt;Pyr!$D$19+Pyr!$E$9,"",0)))</f>
        <v>0</v>
      </c>
      <c r="F18" s="426">
        <f>IF(B18=Pyr!$E$9,0,IF(B18&lt;Pyr!$E$9,"",IF(B18&gt;Pyr!$D$19+Pyr!$E$9,"",Pyr!$D$16*Pyr!$D$18)))</f>
        <v>35.4</v>
      </c>
      <c r="G18" s="426">
        <f>IF($B18=Pyr!$E$9,0,IF($B18&lt;Pyr!$E$9,"",IF($B18&gt;Pyr!$D$19+Pyr!$E$9,"",IF(ISBLANK(Pyr!$C$24),D18*Pyr!$D$21*'General values'!$B$26*'CFA Pyrolysis'!M18,Pyr!$D$24*Pyr!$D$21*'General values'!$B$26*'CFA Pyrolysis'!M18))))</f>
        <v>490.14446129837984</v>
      </c>
      <c r="H18" s="426">
        <f>IF($B18=Pyr!$E$9,0,IF($B18&lt;Pyr!$E$9,"",IF($B18&gt;Pyr!$D$19+Pyr!$E$9,"",IF(Pyr!$C$27="Yes",-Pyr!$D$28*Pyr!$D$33*Pyr!$D$26,0))))</f>
        <v>0</v>
      </c>
      <c r="I18" s="426">
        <f>IF($B18=Pyr!$E$9,SUM(E18:H18),IF($B18&lt;Pyr!$E$9,"",IF($B18&gt;Pyr!$D$19+Pyr!$E$9,"",SUM(E18:H18))))</f>
        <v>525.54446129837982</v>
      </c>
      <c r="J18" s="426">
        <f>IF($B18=Pyr!$E$9,G18/(1+Pyr!$D$22)^C18,IF($B18&lt;Pyr!$E$9,"",IF($B18&gt;Pyr!$D$19+Pyr!$E$9,"",G18/(1+Pyr!$D$22)^C18)))</f>
        <v>213.70521339202421</v>
      </c>
      <c r="K18" s="426">
        <f>IF($B18=Pyr!$E$9,H18/(1+Pyr!$D$22)^C18,IF($B18&lt;Pyr!$E$9,"",IF($B18&gt;Pyr!$D$19+Pyr!$E$9,"",H18/(1+Pyr!$D$22)^C18)))</f>
        <v>0</v>
      </c>
      <c r="L18" s="426">
        <f>IF($B18=Pyr!$E$9,I18/(1+Pyr!$D$22)^C18,IF($B18&lt;Pyr!$E$9,"",IF($B18&gt;Pyr!$D$19+Pyr!$E$9,"",I18/(1+Pyr!$D$22)^C18)))</f>
        <v>229.13977432542276</v>
      </c>
      <c r="M18" s="429">
        <f>IF($B18=Pyr!$E$9,0,IF($B18&lt;Pyr!$E$9,"",IF($B18&gt;Pyr!$D$19+SMR!$E$9,"",Pyr!$D$33)))</f>
        <v>249.68496849684971</v>
      </c>
      <c r="N18" s="430">
        <f>IF($B18=Pyr!$E$9,M18/(1+Pyr!$D$22)^C18,IF($B18&lt;Pyr!$E$9,"",IF($B18&gt;Pyr!$D$19+Pyr!$E$9,"",M18/(1+Pyr!$D$22)^C18)))</f>
        <v>108.86378136774935</v>
      </c>
    </row>
    <row r="19" spans="2:14">
      <c r="B19" s="424">
        <v>2037</v>
      </c>
      <c r="C19" s="431">
        <f>IF($B19=Pyr!$E$9,B19-HOME!$A$9,IF($B19&lt;Pyr!$E$9,"",IF($B19&gt;Pyr!$D$19+Pyr!$E$9,"",B19-HOME!$A$9)))</f>
        <v>15</v>
      </c>
      <c r="D19" s="426" cm="1">
        <f t="array" ref="D19">IF(B19=Pyr!$E$9,"",IF(B19&lt;Pyr!$E$9,"",IF(B19&gt;Pyr!$D$19+Pyr!$E$9,"",IF(INDEX(Tb_Fuel[],MATCH(B19,Tb_Fuel[Year],0),HLOOKUP(Pyr!$E$8&amp;" - Gas",'Fuel Data'!$BB$2:$BX$3,2,FALSE)+1)=0,INDEX(Tb_Fuel[],MATCH(B19,Tb_Fuel[Year],0),HLOOKUP(Pyr!$E$8&amp;" - Gas",'Fuel Data'!$BB$2:$BX$3,2,FALSE)+1),INDEX(Tb_Fuel[],MATCH(B19,Tb_Fuel[Year],0),HLOOKUP(Pyr!$E$8&amp;" - Gas",'Fuel Data'!$BB$2:$BX$3,2,FALSE)+1)))))</f>
        <v>2.8250000000000001E-2</v>
      </c>
      <c r="E19" s="426">
        <f>IF(B19=Pyr!$E$9,Pyr!$D$16,IF(B19&lt;Pyr!$E$9,"",IF(B19&gt;Pyr!$D$19+Pyr!$E$9,"",0)))</f>
        <v>0</v>
      </c>
      <c r="F19" s="426">
        <f>IF(B19=Pyr!$E$9,0,IF(B19&lt;Pyr!$E$9,"",IF(B19&gt;Pyr!$D$19+Pyr!$E$9,"",Pyr!$D$16*Pyr!$D$18)))</f>
        <v>35.4</v>
      </c>
      <c r="G19" s="426">
        <f>IF($B19=Pyr!$E$9,0,IF($B19&lt;Pyr!$E$9,"",IF($B19&gt;Pyr!$D$19+Pyr!$E$9,"",IF(ISBLANK(Pyr!$C$24),D19*Pyr!$D$21*'General values'!$B$26*'CFA Pyrolysis'!M19,Pyr!$D$24*Pyr!$D$21*'General values'!$B$26*'CFA Pyrolysis'!M19))))</f>
        <v>490.14446129837984</v>
      </c>
      <c r="H19" s="426">
        <f>IF($B19=Pyr!$E$9,0,IF($B19&lt;Pyr!$E$9,"",IF($B19&gt;Pyr!$D$19+Pyr!$E$9,"",IF(Pyr!$C$27="Yes",-Pyr!$D$28*Pyr!$D$33*Pyr!$D$26,0))))</f>
        <v>0</v>
      </c>
      <c r="I19" s="426">
        <f>IF($B19=Pyr!$E$9,SUM(E19:H19),IF($B19&lt;Pyr!$E$9,"",IF($B19&gt;Pyr!$D$19+Pyr!$E$9,"",SUM(E19:H19))))</f>
        <v>525.54446129837982</v>
      </c>
      <c r="J19" s="426">
        <f>IF($B19=Pyr!$E$9,G19/(1+Pyr!$D$22)^C19,IF($B19&lt;Pyr!$E$9,"",IF($B19&gt;Pyr!$D$19+Pyr!$E$9,"",G19/(1+Pyr!$D$22)^C19)))</f>
        <v>201.40232298216395</v>
      </c>
      <c r="K19" s="426">
        <f>IF($B19=Pyr!$E$9,H19/(1+Pyr!$D$22)^C19,IF($B19&lt;Pyr!$E$9,"",IF($B19&gt;Pyr!$D$19+Pyr!$E$9,"",H19/(1+Pyr!$D$22)^C19)))</f>
        <v>0</v>
      </c>
      <c r="L19" s="426">
        <f>IF($B19=Pyr!$E$9,I19/(1+Pyr!$D$22)^C19,IF($B19&lt;Pyr!$E$9,"",IF($B19&gt;Pyr!$D$19+Pyr!$E$9,"",I19/(1+Pyr!$D$22)^C19)))</f>
        <v>215.94832481738283</v>
      </c>
      <c r="M19" s="429">
        <f>IF($B19=Pyr!$E$9,0,IF($B19&lt;Pyr!$E$9,"",IF($B19&gt;Pyr!$D$19+SMR!$E$9,"",Pyr!$D$33)))</f>
        <v>249.68496849684971</v>
      </c>
      <c r="N19" s="430">
        <f>IF($B19=Pyr!$E$9,M19/(1+Pyr!$D$22)^C19,IF($B19&lt;Pyr!$E$9,"",IF($B19&gt;Pyr!$D$19+Pyr!$E$9,"",M19/(1+Pyr!$D$22)^C19)))</f>
        <v>102.59655395428658</v>
      </c>
    </row>
    <row r="20" spans="2:14">
      <c r="B20" s="424">
        <v>2038</v>
      </c>
      <c r="C20" s="431">
        <f>IF($B20=Pyr!$E$9,B20-HOME!$A$9,IF($B20&lt;Pyr!$E$9,"",IF($B20&gt;Pyr!$D$19+Pyr!$E$9,"",B20-HOME!$A$9)))</f>
        <v>16</v>
      </c>
      <c r="D20" s="426" cm="1">
        <f t="array" ref="D20">IF(B20=Pyr!$E$9,"",IF(B20&lt;Pyr!$E$9,"",IF(B20&gt;Pyr!$D$19+Pyr!$E$9,"",IF(INDEX(Tb_Fuel[],MATCH(B20,Tb_Fuel[Year],0),HLOOKUP(Pyr!$E$8&amp;" - Gas",'Fuel Data'!$BB$2:$BX$3,2,FALSE)+1)=0,INDEX(Tb_Fuel[],MATCH(B20,Tb_Fuel[Year],0),HLOOKUP(Pyr!$E$8&amp;" - Gas",'Fuel Data'!$BB$2:$BX$3,2,FALSE)+1),INDEX(Tb_Fuel[],MATCH(B20,Tb_Fuel[Year],0),HLOOKUP(Pyr!$E$8&amp;" - Gas",'Fuel Data'!$BB$2:$BX$3,2,FALSE)+1)))))</f>
        <v>2.8250000000000001E-2</v>
      </c>
      <c r="E20" s="426">
        <f>IF(B20=Pyr!$E$9,Pyr!$D$16,IF(B20&lt;Pyr!$E$9,"",IF(B20&gt;Pyr!$D$19+Pyr!$E$9,"",0)))</f>
        <v>0</v>
      </c>
      <c r="F20" s="426">
        <f>IF(B20=Pyr!$E$9,0,IF(B20&lt;Pyr!$E$9,"",IF(B20&gt;Pyr!$D$19+Pyr!$E$9,"",Pyr!$D$16*Pyr!$D$18)))</f>
        <v>35.4</v>
      </c>
      <c r="G20" s="426">
        <f>IF($B20=Pyr!$E$9,0,IF($B20&lt;Pyr!$E$9,"",IF($B20&gt;Pyr!$D$19+Pyr!$E$9,"",IF(ISBLANK(Pyr!$C$24),D20*Pyr!$D$21*'General values'!$B$26*'CFA Pyrolysis'!M20,Pyr!$D$24*Pyr!$D$21*'General values'!$B$26*'CFA Pyrolysis'!M20))))</f>
        <v>490.14446129837984</v>
      </c>
      <c r="H20" s="426">
        <f>IF($B20=Pyr!$E$9,0,IF($B20&lt;Pyr!$E$9,"",IF($B20&gt;Pyr!$D$19+Pyr!$E$9,"",IF(Pyr!$C$27="Yes",-Pyr!$D$28*Pyr!$D$33*Pyr!$D$26,0))))</f>
        <v>0</v>
      </c>
      <c r="I20" s="426">
        <f>IF($B20=Pyr!$E$9,SUM(E20:H20),IF($B20&lt;Pyr!$E$9,"",IF($B20&gt;Pyr!$D$19+Pyr!$E$9,"",SUM(E20:H20))))</f>
        <v>525.54446129837982</v>
      </c>
      <c r="J20" s="426">
        <f>IF($B20=Pyr!$E$9,G20/(1+Pyr!$D$22)^C20,IF($B20&lt;Pyr!$E$9,"",IF($B20&gt;Pyr!$D$19+Pyr!$E$9,"",G20/(1+Pyr!$D$22)^C20)))</f>
        <v>189.80770313826017</v>
      </c>
      <c r="K20" s="426">
        <f>IF($B20=Pyr!$E$9,H20/(1+Pyr!$D$22)^C20,IF($B20&lt;Pyr!$E$9,"",IF($B20&gt;Pyr!$D$19+Pyr!$E$9,"",H20/(1+Pyr!$D$22)^C20)))</f>
        <v>0</v>
      </c>
      <c r="L20" s="426">
        <f>IF($B20=Pyr!$E$9,I20/(1+Pyr!$D$22)^C20,IF($B20&lt;Pyr!$E$9,"",IF($B20&gt;Pyr!$D$19+Pyr!$E$9,"",I20/(1+Pyr!$D$22)^C20)))</f>
        <v>203.51629972893764</v>
      </c>
      <c r="M20" s="429">
        <f>IF($B20=Pyr!$E$9,0,IF($B20&lt;Pyr!$E$9,"",IF($B20&gt;Pyr!$D$19+SMR!$E$9,"",Pyr!$D$33)))</f>
        <v>249.68496849684971</v>
      </c>
      <c r="N20" s="430">
        <f>IF($B20=Pyr!$E$9,M20/(1+Pyr!$D$22)^C20,IF($B20&lt;Pyr!$E$9,"",IF($B20&gt;Pyr!$D$19+Pyr!$E$9,"",M20/(1+Pyr!$D$22)^C20)))</f>
        <v>96.690127341223814</v>
      </c>
    </row>
    <row r="21" spans="2:14">
      <c r="B21" s="424">
        <v>2039</v>
      </c>
      <c r="C21" s="431">
        <f>IF($B21=Pyr!$E$9,B21-HOME!$A$9,IF($B21&lt;Pyr!$E$9,"",IF($B21&gt;Pyr!$D$19+Pyr!$E$9,"",B21-HOME!$A$9)))</f>
        <v>17</v>
      </c>
      <c r="D21" s="426" cm="1">
        <f t="array" ref="D21">IF(B21=Pyr!$E$9,"",IF(B21&lt;Pyr!$E$9,"",IF(B21&gt;Pyr!$D$19+Pyr!$E$9,"",IF(INDEX(Tb_Fuel[],MATCH(B21,Tb_Fuel[Year],0),HLOOKUP(Pyr!$E$8&amp;" - Gas",'Fuel Data'!$BB$2:$BX$3,2,FALSE)+1)=0,INDEX(Tb_Fuel[],MATCH(B21,Tb_Fuel[Year],0),HLOOKUP(Pyr!$E$8&amp;" - Gas",'Fuel Data'!$BB$2:$BX$3,2,FALSE)+1),INDEX(Tb_Fuel[],MATCH(B21,Tb_Fuel[Year],0),HLOOKUP(Pyr!$E$8&amp;" - Gas",'Fuel Data'!$BB$2:$BX$3,2,FALSE)+1)))))</f>
        <v>2.8250000000000001E-2</v>
      </c>
      <c r="E21" s="426">
        <f>IF(B21=Pyr!$E$9,Pyr!$D$16,IF(B21&lt;Pyr!$E$9,"",IF(B21&gt;Pyr!$D$19+Pyr!$E$9,"",0)))</f>
        <v>0</v>
      </c>
      <c r="F21" s="426">
        <f>IF(B21=Pyr!$E$9,0,IF(B21&lt;Pyr!$E$9,"",IF(B21&gt;Pyr!$D$19+Pyr!$E$9,"",Pyr!$D$16*Pyr!$D$18)))</f>
        <v>35.4</v>
      </c>
      <c r="G21" s="426">
        <f>IF($B21=Pyr!$E$9,0,IF($B21&lt;Pyr!$E$9,"",IF($B21&gt;Pyr!$D$19+Pyr!$E$9,"",IF(ISBLANK(Pyr!$C$24),D21*Pyr!$D$21*'General values'!$B$26*'CFA Pyrolysis'!M21,Pyr!$D$24*Pyr!$D$21*'General values'!$B$26*'CFA Pyrolysis'!M21))))</f>
        <v>490.14446129837984</v>
      </c>
      <c r="H21" s="426">
        <f>IF($B21=Pyr!$E$9,0,IF($B21&lt;Pyr!$E$9,"",IF($B21&gt;Pyr!$D$19+Pyr!$E$9,"",IF(Pyr!$C$27="Yes",-Pyr!$D$28*Pyr!$D$33*Pyr!$D$26,0))))</f>
        <v>0</v>
      </c>
      <c r="I21" s="426">
        <f>IF($B21=Pyr!$E$9,SUM(E21:H21),IF($B21&lt;Pyr!$E$9,"",IF($B21&gt;Pyr!$D$19+Pyr!$E$9,"",SUM(E21:H21))))</f>
        <v>525.54446129837982</v>
      </c>
      <c r="J21" s="426">
        <f>IF($B21=Pyr!$E$9,G21/(1+Pyr!$D$22)^C21,IF($B21&lt;Pyr!$E$9,"",IF($B21&gt;Pyr!$D$19+Pyr!$E$9,"",G21/(1+Pyr!$D$22)^C21)))</f>
        <v>178.88057911731448</v>
      </c>
      <c r="K21" s="426">
        <f>IF($B21=Pyr!$E$9,H21/(1+Pyr!$D$22)^C21,IF($B21&lt;Pyr!$E$9,"",IF($B21&gt;Pyr!$D$19+Pyr!$E$9,"",H21/(1+Pyr!$D$22)^C21)))</f>
        <v>0</v>
      </c>
      <c r="L21" s="426">
        <f>IF($B21=Pyr!$E$9,I21/(1+Pyr!$D$22)^C21,IF($B21&lt;Pyr!$E$9,"",IF($B21&gt;Pyr!$D$19+Pyr!$E$9,"",I21/(1+Pyr!$D$22)^C21)))</f>
        <v>191.79997941815361</v>
      </c>
      <c r="M21" s="429">
        <f>IF($B21=Pyr!$E$9,0,IF($B21&lt;Pyr!$E$9,"",IF($B21&gt;Pyr!$D$19+SMR!$E$9,"",Pyr!$D$33)))</f>
        <v>249.68496849684971</v>
      </c>
      <c r="N21" s="430">
        <f>IF($B21=Pyr!$E$9,M21/(1+Pyr!$D$22)^C21,IF($B21&lt;Pyr!$E$9,"",IF($B21&gt;Pyr!$D$19+Pyr!$E$9,"",M21/(1+Pyr!$D$22)^C21)))</f>
        <v>91.123730426926954</v>
      </c>
    </row>
    <row r="22" spans="2:14">
      <c r="B22" s="424">
        <v>2040</v>
      </c>
      <c r="C22" s="431">
        <f>IF($B22=Pyr!$E$9,B22-HOME!$A$9,IF($B22&lt;Pyr!$E$9,"",IF($B22&gt;Pyr!$D$19+Pyr!$E$9,"",B22-HOME!$A$9)))</f>
        <v>18</v>
      </c>
      <c r="D22" s="426" cm="1">
        <f t="array" ref="D22">IF(B22=Pyr!$E$9,"",IF(B22&lt;Pyr!$E$9,"",IF(B22&gt;Pyr!$D$19+Pyr!$E$9,"",IF(INDEX(Tb_Fuel[],MATCH(B22,Tb_Fuel[Year],0),HLOOKUP(Pyr!$E$8&amp;" - Gas",'Fuel Data'!$BB$2:$BX$3,2,FALSE)+1)=0,INDEX(Tb_Fuel[],MATCH(B22,Tb_Fuel[Year],0),HLOOKUP(Pyr!$E$8&amp;" - Gas",'Fuel Data'!$BB$2:$BX$3,2,FALSE)+1),INDEX(Tb_Fuel[],MATCH(B22,Tb_Fuel[Year],0),HLOOKUP(Pyr!$E$8&amp;" - Gas",'Fuel Data'!$BB$2:$BX$3,2,FALSE)+1)))))</f>
        <v>2.8250000000000001E-2</v>
      </c>
      <c r="E22" s="426">
        <f>IF(B22=Pyr!$E$9,Pyr!$D$16,IF(B22&lt;Pyr!$E$9,"",IF(B22&gt;Pyr!$D$19+Pyr!$E$9,"",0)))</f>
        <v>0</v>
      </c>
      <c r="F22" s="426">
        <f>IF(B22=Pyr!$E$9,0,IF(B22&lt;Pyr!$E$9,"",IF(B22&gt;Pyr!$D$19+Pyr!$E$9,"",Pyr!$D$16*Pyr!$D$18)))</f>
        <v>35.4</v>
      </c>
      <c r="G22" s="426">
        <f>IF($B22=Pyr!$E$9,0,IF($B22&lt;Pyr!$E$9,"",IF($B22&gt;Pyr!$D$19+Pyr!$E$9,"",IF(ISBLANK(Pyr!$C$24),D22*Pyr!$D$21*'General values'!$B$26*'CFA Pyrolysis'!M22,Pyr!$D$24*Pyr!$D$21*'General values'!$B$26*'CFA Pyrolysis'!M22))))</f>
        <v>490.14446129837984</v>
      </c>
      <c r="H22" s="426">
        <f>IF($B22=Pyr!$E$9,0,IF($B22&lt;Pyr!$E$9,"",IF($B22&gt;Pyr!$D$19+Pyr!$E$9,"",IF(Pyr!$C$27="Yes",-Pyr!$D$28*Pyr!$D$33*Pyr!$D$26,0))))</f>
        <v>0</v>
      </c>
      <c r="I22" s="426">
        <f>IF($B22=Pyr!$E$9,SUM(E22:H22),IF($B22&lt;Pyr!$E$9,"",IF($B22&gt;Pyr!$D$19+Pyr!$E$9,"",SUM(E22:H22))))</f>
        <v>525.54446129837982</v>
      </c>
      <c r="J22" s="426">
        <f>IF($B22=Pyr!$E$9,G22/(1+Pyr!$D$22)^C22,IF($B22&lt;Pyr!$E$9,"",IF($B22&gt;Pyr!$D$19+Pyr!$E$9,"",G22/(1+Pyr!$D$22)^C22)))</f>
        <v>168.58252355563019</v>
      </c>
      <c r="K22" s="426">
        <f>IF($B22=Pyr!$E$9,H22/(1+Pyr!$D$22)^C22,IF($B22&lt;Pyr!$E$9,"",IF($B22&gt;Pyr!$D$19+Pyr!$E$9,"",H22/(1+Pyr!$D$22)^C22)))</f>
        <v>0</v>
      </c>
      <c r="L22" s="426">
        <f>IF($B22=Pyr!$E$9,I22/(1+Pyr!$D$22)^C22,IF($B22&lt;Pyr!$E$9,"",IF($B22&gt;Pyr!$D$19+Pyr!$E$9,"",I22/(1+Pyr!$D$22)^C22)))</f>
        <v>180.75816115859462</v>
      </c>
      <c r="M22" s="429">
        <f>IF($B22=Pyr!$E$9,0,IF($B22&lt;Pyr!$E$9,"",IF($B22&gt;Pyr!$D$19+SMR!$E$9,"",Pyr!$D$33)))</f>
        <v>249.68496849684971</v>
      </c>
      <c r="N22" s="430">
        <f>IF($B22=Pyr!$E$9,M22/(1+Pyr!$D$22)^C22,IF($B22&lt;Pyr!$E$9,"",IF($B22&gt;Pyr!$D$19+Pyr!$E$9,"",M22/(1+Pyr!$D$22)^C22)))</f>
        <v>85.877787890543445</v>
      </c>
    </row>
    <row r="23" spans="2:14">
      <c r="B23" s="424">
        <v>2041</v>
      </c>
      <c r="C23" s="431">
        <f>IF($B23=Pyr!$E$9,B23-HOME!$A$9,IF($B23&lt;Pyr!$E$9,"",IF($B23&gt;Pyr!$D$19+Pyr!$E$9,"",B23-HOME!$A$9)))</f>
        <v>19</v>
      </c>
      <c r="D23" s="426" cm="1">
        <f t="array" ref="D23">IF(B23=Pyr!$E$9,"",IF(B23&lt;Pyr!$E$9,"",IF(B23&gt;Pyr!$D$19+Pyr!$E$9,"",IF(INDEX(Tb_Fuel[],MATCH(B23,Tb_Fuel[Year],0),HLOOKUP(Pyr!$E$8&amp;" - Gas",'Fuel Data'!$BB$2:$BX$3,2,FALSE)+1)=0,INDEX(Tb_Fuel[],MATCH(B23,Tb_Fuel[Year],0),HLOOKUP(Pyr!$E$8&amp;" - Gas",'Fuel Data'!$BB$2:$BX$3,2,FALSE)+1),INDEX(Tb_Fuel[],MATCH(B23,Tb_Fuel[Year],0),HLOOKUP(Pyr!$E$8&amp;" - Gas",'Fuel Data'!$BB$2:$BX$3,2,FALSE)+1)))))</f>
        <v>2.8250000000000001E-2</v>
      </c>
      <c r="E23" s="426">
        <f>IF(B23=Pyr!$E$9,Pyr!$D$16,IF(B23&lt;Pyr!$E$9,"",IF(B23&gt;Pyr!$D$19+Pyr!$E$9,"",0)))</f>
        <v>0</v>
      </c>
      <c r="F23" s="426">
        <f>IF(B23=Pyr!$E$9,0,IF(B23&lt;Pyr!$E$9,"",IF(B23&gt;Pyr!$D$19+Pyr!$E$9,"",Pyr!$D$16*Pyr!$D$18)))</f>
        <v>35.4</v>
      </c>
      <c r="G23" s="426">
        <f>IF($B23=Pyr!$E$9,0,IF($B23&lt;Pyr!$E$9,"",IF($B23&gt;Pyr!$D$19+Pyr!$E$9,"",IF(ISBLANK(Pyr!$C$24),D23*Pyr!$D$21*'General values'!$B$26*'CFA Pyrolysis'!M23,Pyr!$D$24*Pyr!$D$21*'General values'!$B$26*'CFA Pyrolysis'!M23))))</f>
        <v>490.14446129837984</v>
      </c>
      <c r="H23" s="426">
        <f>IF($B23=Pyr!$E$9,0,IF($B23&lt;Pyr!$E$9,"",IF($B23&gt;Pyr!$D$19+Pyr!$E$9,"",IF(Pyr!$C$27="Yes",-Pyr!$D$28*Pyr!$D$33*Pyr!$D$26,0))))</f>
        <v>0</v>
      </c>
      <c r="I23" s="426">
        <f>IF($B23=Pyr!$E$9,SUM(E23:H23),IF($B23&lt;Pyr!$E$9,"",IF($B23&gt;Pyr!$D$19+Pyr!$E$9,"",SUM(E23:H23))))</f>
        <v>525.54446129837982</v>
      </c>
      <c r="J23" s="426">
        <f>IF($B23=Pyr!$E$9,G23/(1+Pyr!$D$22)^C23,IF($B23&lt;Pyr!$E$9,"",IF($B23&gt;Pyr!$D$19+Pyr!$E$9,"",G23/(1+Pyr!$D$22)^C23)))</f>
        <v>158.87732133149007</v>
      </c>
      <c r="K23" s="426">
        <f>IF($B23=Pyr!$E$9,H23/(1+Pyr!$D$22)^C23,IF($B23&lt;Pyr!$E$9,"",IF($B23&gt;Pyr!$D$19+Pyr!$E$9,"",H23/(1+Pyr!$D$22)^C23)))</f>
        <v>0</v>
      </c>
      <c r="L23" s="426">
        <f>IF($B23=Pyr!$E$9,I23/(1+Pyr!$D$22)^C23,IF($B23&lt;Pyr!$E$9,"",IF($B23&gt;Pyr!$D$19+Pyr!$E$9,"",I23/(1+Pyr!$D$22)^C23)))</f>
        <v>170.35201424189498</v>
      </c>
      <c r="M23" s="429">
        <f>IF($B23=Pyr!$E$9,0,IF($B23&lt;Pyr!$E$9,"",IF($B23&gt;Pyr!$D$19+SMR!$E$9,"",Pyr!$D$33)))</f>
        <v>249.68496849684971</v>
      </c>
      <c r="N23" s="430">
        <f>IF($B23=Pyr!$E$9,M23/(1+Pyr!$D$22)^C23,IF($B23&lt;Pyr!$E$9,"",IF($B23&gt;Pyr!$D$19+Pyr!$E$9,"",M23/(1+Pyr!$D$22)^C23)))</f>
        <v>80.933851351567014</v>
      </c>
    </row>
    <row r="24" spans="2:14">
      <c r="B24" s="424">
        <v>2042</v>
      </c>
      <c r="C24" s="431">
        <f>IF($B24=Pyr!$E$9,B24-HOME!$A$9,IF($B24&lt;Pyr!$E$9,"",IF($B24&gt;Pyr!$D$19+Pyr!$E$9,"",B24-HOME!$A$9)))</f>
        <v>20</v>
      </c>
      <c r="D24" s="426" cm="1">
        <f t="array" ref="D24">IF(B24=Pyr!$E$9,"",IF(B24&lt;Pyr!$E$9,"",IF(B24&gt;Pyr!$D$19+Pyr!$E$9,"",IF(INDEX(Tb_Fuel[],MATCH(B24,Tb_Fuel[Year],0),HLOOKUP(Pyr!$E$8&amp;" - Gas",'Fuel Data'!$BB$2:$BX$3,2,FALSE)+1)=0,INDEX(Tb_Fuel[],MATCH(B24,Tb_Fuel[Year],0),HLOOKUP(Pyr!$E$8&amp;" - Gas",'Fuel Data'!$BB$2:$BX$3,2,FALSE)+1),INDEX(Tb_Fuel[],MATCH(B24,Tb_Fuel[Year],0),HLOOKUP(Pyr!$E$8&amp;" - Gas",'Fuel Data'!$BB$2:$BX$3,2,FALSE)+1)))))</f>
        <v>2.8250000000000001E-2</v>
      </c>
      <c r="E24" s="426">
        <f>IF(B24=Pyr!$E$9,Pyr!$D$16,IF(B24&lt;Pyr!$E$9,"",IF(B24&gt;Pyr!$D$19+Pyr!$E$9,"",0)))</f>
        <v>0</v>
      </c>
      <c r="F24" s="426">
        <f>IF(B24=Pyr!$E$9,0,IF(B24&lt;Pyr!$E$9,"",IF(B24&gt;Pyr!$D$19+Pyr!$E$9,"",Pyr!$D$16*Pyr!$D$18)))</f>
        <v>35.4</v>
      </c>
      <c r="G24" s="426">
        <f>IF($B24=Pyr!$E$9,0,IF($B24&lt;Pyr!$E$9,"",IF($B24&gt;Pyr!$D$19+Pyr!$E$9,"",IF(ISBLANK(Pyr!$C$24),D24*Pyr!$D$21*'General values'!$B$26*'CFA Pyrolysis'!M24,Pyr!$D$24*Pyr!$D$21*'General values'!$B$26*'CFA Pyrolysis'!M24))))</f>
        <v>490.14446129837984</v>
      </c>
      <c r="H24" s="426">
        <f>IF($B24=Pyr!$E$9,0,IF($B24&lt;Pyr!$E$9,"",IF($B24&gt;Pyr!$D$19+Pyr!$E$9,"",IF(Pyr!$C$27="Yes",-Pyr!$D$28*Pyr!$D$33*Pyr!$D$26,0))))</f>
        <v>0</v>
      </c>
      <c r="I24" s="426">
        <f>IF($B24=Pyr!$E$9,SUM(E24:H24),IF($B24&lt;Pyr!$E$9,"",IF($B24&gt;Pyr!$D$19+Pyr!$E$9,"",SUM(E24:H24))))</f>
        <v>525.54446129837982</v>
      </c>
      <c r="J24" s="426">
        <f>IF($B24=Pyr!$E$9,G24/(1+Pyr!$D$22)^C24,IF($B24&lt;Pyr!$E$9,"",IF($B24&gt;Pyr!$D$19+Pyr!$E$9,"",G24/(1+Pyr!$D$22)^C24)))</f>
        <v>149.7308422076147</v>
      </c>
      <c r="K24" s="426">
        <f>IF($B24=Pyr!$E$9,H24/(1+Pyr!$D$22)^C24,IF($B24&lt;Pyr!$E$9,"",IF($B24&gt;Pyr!$D$19+Pyr!$E$9,"",H24/(1+Pyr!$D$22)^C24)))</f>
        <v>0</v>
      </c>
      <c r="L24" s="426">
        <f>IF($B24=Pyr!$E$9,I24/(1+Pyr!$D$22)^C24,IF($B24&lt;Pyr!$E$9,"",IF($B24&gt;Pyr!$D$19+Pyr!$E$9,"",I24/(1+Pyr!$D$22)^C24)))</f>
        <v>160.54494342199698</v>
      </c>
      <c r="M24" s="429">
        <f>IF($B24=Pyr!$E$9,0,IF($B24&lt;Pyr!$E$9,"",IF($B24&gt;Pyr!$D$19+SMR!$E$9,"",Pyr!$D$33)))</f>
        <v>249.68496849684971</v>
      </c>
      <c r="N24" s="430">
        <f>IF($B24=Pyr!$E$9,M24/(1+Pyr!$D$22)^C24,IF($B24&lt;Pyr!$E$9,"",IF($B24&gt;Pyr!$D$19+Pyr!$E$9,"",M24/(1+Pyr!$D$22)^C24)))</f>
        <v>76.274534492508053</v>
      </c>
    </row>
    <row r="25" spans="2:14">
      <c r="B25" s="424">
        <v>2043</v>
      </c>
      <c r="C25" s="431">
        <f>IF($B25=Pyr!$E$9,B25-HOME!$A$9,IF($B25&lt;Pyr!$E$9,"",IF($B25&gt;Pyr!$D$19+Pyr!$E$9,"",B25-HOME!$A$9)))</f>
        <v>21</v>
      </c>
      <c r="D25" s="426" cm="1">
        <f t="array" ref="D25">IF(B25=Pyr!$E$9,"",IF(B25&lt;Pyr!$E$9,"",IF(B25&gt;Pyr!$D$19+Pyr!$E$9,"",IF(INDEX(Tb_Fuel[],MATCH(B25,Tb_Fuel[Year],0),HLOOKUP(Pyr!$E$8&amp;" - Gas",'Fuel Data'!$BB$2:$BX$3,2,FALSE)+1)=0,INDEX(Tb_Fuel[],MATCH(B25,Tb_Fuel[Year],0),HLOOKUP(Pyr!$E$8&amp;" - Gas",'Fuel Data'!$BB$2:$BX$3,2,FALSE)+1),INDEX(Tb_Fuel[],MATCH(B25,Tb_Fuel[Year],0),HLOOKUP(Pyr!$E$8&amp;" - Gas",'Fuel Data'!$BB$2:$BX$3,2,FALSE)+1)))))</f>
        <v>2.8250000000000001E-2</v>
      </c>
      <c r="E25" s="426">
        <f>IF(B25=Pyr!$E$9,Pyr!$D$16,IF(B25&lt;Pyr!$E$9,"",IF(B25&gt;Pyr!$D$19+Pyr!$E$9,"",0)))</f>
        <v>0</v>
      </c>
      <c r="F25" s="426">
        <f>IF(B25=Pyr!$E$9,0,IF(B25&lt;Pyr!$E$9,"",IF(B25&gt;Pyr!$D$19+Pyr!$E$9,"",Pyr!$D$16*Pyr!$D$18)))</f>
        <v>35.4</v>
      </c>
      <c r="G25" s="426">
        <f>IF($B25=Pyr!$E$9,0,IF($B25&lt;Pyr!$E$9,"",IF($B25&gt;Pyr!$D$19+Pyr!$E$9,"",IF(ISBLANK(Pyr!$C$24),D25*Pyr!$D$21*'General values'!$B$26*'CFA Pyrolysis'!M25,Pyr!$D$24*Pyr!$D$21*'General values'!$B$26*'CFA Pyrolysis'!M25))))</f>
        <v>490.14446129837984</v>
      </c>
      <c r="H25" s="426">
        <f>IF($B25=Pyr!$E$9,0,IF($B25&lt;Pyr!$E$9,"",IF($B25&gt;Pyr!$D$19+Pyr!$E$9,"",IF(Pyr!$C$27="Yes",-Pyr!$D$28*Pyr!$D$33*Pyr!$D$26,0))))</f>
        <v>0</v>
      </c>
      <c r="I25" s="426">
        <f>IF($B25=Pyr!$E$9,SUM(E25:H25),IF($B25&lt;Pyr!$E$9,"",IF($B25&gt;Pyr!$D$19+Pyr!$E$9,"",SUM(E25:H25))))</f>
        <v>525.54446129837982</v>
      </c>
      <c r="J25" s="426">
        <f>IF($B25=Pyr!$E$9,G25/(1+Pyr!$D$22)^C25,IF($B25&lt;Pyr!$E$9,"",IF($B25&gt;Pyr!$D$19+Pyr!$E$9,"",G25/(1+Pyr!$D$22)^C25)))</f>
        <v>141.11092080552351</v>
      </c>
      <c r="K25" s="426">
        <f>IF($B25=Pyr!$E$9,H25/(1+Pyr!$D$22)^C25,IF($B25&lt;Pyr!$E$9,"",IF($B25&gt;Pyr!$D$19+Pyr!$E$9,"",H25/(1+Pyr!$D$22)^C25)))</f>
        <v>0</v>
      </c>
      <c r="L25" s="426">
        <f>IF($B25=Pyr!$E$9,I25/(1+Pyr!$D$22)^C25,IF($B25&lt;Pyr!$E$9,"",IF($B25&gt;Pyr!$D$19+Pyr!$E$9,"",I25/(1+Pyr!$D$22)^C25)))</f>
        <v>151.30246022082781</v>
      </c>
      <c r="M25" s="429">
        <f>IF($B25=Pyr!$E$9,0,IF($B25&lt;Pyr!$E$9,"",IF($B25&gt;Pyr!$D$19+SMR!$E$9,"",Pyr!$D$33)))</f>
        <v>249.68496849684971</v>
      </c>
      <c r="N25" s="430">
        <f>IF($B25=Pyr!$E$9,M25/(1+Pyr!$D$22)^C25,IF($B25&lt;Pyr!$E$9,"",IF($B25&gt;Pyr!$D$19+Pyr!$E$9,"",M25/(1+Pyr!$D$22)^C25)))</f>
        <v>71.883451916515725</v>
      </c>
    </row>
    <row r="26" spans="2:14">
      <c r="B26" s="424">
        <v>2044</v>
      </c>
      <c r="C26" s="431">
        <f>IF($B26=Pyr!$E$9,B26-HOME!$A$9,IF($B26&lt;Pyr!$E$9,"",IF($B26&gt;Pyr!$D$19+Pyr!$E$9,"",B26-HOME!$A$9)))</f>
        <v>22</v>
      </c>
      <c r="D26" s="426" cm="1">
        <f t="array" ref="D26">IF(B26=Pyr!$E$9,"",IF(B26&lt;Pyr!$E$9,"",IF(B26&gt;Pyr!$D$19+Pyr!$E$9,"",IF(INDEX(Tb_Fuel[],MATCH(B26,Tb_Fuel[Year],0),HLOOKUP(Pyr!$E$8&amp;" - Gas",'Fuel Data'!$BB$2:$BX$3,2,FALSE)+1)=0,INDEX(Tb_Fuel[],MATCH(B26,Tb_Fuel[Year],0),HLOOKUP(Pyr!$E$8&amp;" - Gas",'Fuel Data'!$BB$2:$BX$3,2,FALSE)+1),INDEX(Tb_Fuel[],MATCH(B26,Tb_Fuel[Year],0),HLOOKUP(Pyr!$E$8&amp;" - Gas",'Fuel Data'!$BB$2:$BX$3,2,FALSE)+1)))))</f>
        <v>2.8250000000000001E-2</v>
      </c>
      <c r="E26" s="426">
        <f>IF(B26=Pyr!$E$9,Pyr!$D$16,IF(B26&lt;Pyr!$E$9,"",IF(B26&gt;Pyr!$D$19+Pyr!$E$9,"",0)))</f>
        <v>0</v>
      </c>
      <c r="F26" s="426">
        <f>IF(B26=Pyr!$E$9,0,IF(B26&lt;Pyr!$E$9,"",IF(B26&gt;Pyr!$D$19+Pyr!$E$9,"",Pyr!$D$16*Pyr!$D$18)))</f>
        <v>35.4</v>
      </c>
      <c r="G26" s="426">
        <f>IF($B26=Pyr!$E$9,0,IF($B26&lt;Pyr!$E$9,"",IF($B26&gt;Pyr!$D$19+Pyr!$E$9,"",IF(ISBLANK(Pyr!$C$24),D26*Pyr!$D$21*'General values'!$B$26*'CFA Pyrolysis'!M26,Pyr!$D$24*Pyr!$D$21*'General values'!$B$26*'CFA Pyrolysis'!M26))))</f>
        <v>490.14446129837984</v>
      </c>
      <c r="H26" s="426">
        <f>IF($B26=Pyr!$E$9,0,IF($B26&lt;Pyr!$E$9,"",IF($B26&gt;Pyr!$D$19+Pyr!$E$9,"",IF(Pyr!$C$27="Yes",-Pyr!$D$28*Pyr!$D$33*Pyr!$D$26,0))))</f>
        <v>0</v>
      </c>
      <c r="I26" s="426">
        <f>IF($B26=Pyr!$E$9,SUM(E26:H26),IF($B26&lt;Pyr!$E$9,"",IF($B26&gt;Pyr!$D$19+Pyr!$E$9,"",SUM(E26:H26))))</f>
        <v>525.54446129837982</v>
      </c>
      <c r="J26" s="426">
        <f>IF($B26=Pyr!$E$9,G26/(1+Pyr!$D$22)^C26,IF($B26&lt;Pyr!$E$9,"",IF($B26&gt;Pyr!$D$19+Pyr!$E$9,"",G26/(1+Pyr!$D$22)^C26)))</f>
        <v>132.98724348970552</v>
      </c>
      <c r="K26" s="426">
        <f>IF($B26=Pyr!$E$9,H26/(1+Pyr!$D$22)^C26,IF($B26&lt;Pyr!$E$9,"",IF($B26&gt;Pyr!$D$19+Pyr!$E$9,"",H26/(1+Pyr!$D$22)^C26)))</f>
        <v>0</v>
      </c>
      <c r="L26" s="426">
        <f>IF($B26=Pyr!$E$9,I26/(1+Pyr!$D$22)^C26,IF($B26&lt;Pyr!$E$9,"",IF($B26&gt;Pyr!$D$19+Pyr!$E$9,"",I26/(1+Pyr!$D$22)^C26)))</f>
        <v>142.59206164283708</v>
      </c>
      <c r="M26" s="429">
        <f>IF($B26=Pyr!$E$9,0,IF($B26&lt;Pyr!$E$9,"",IF($B26&gt;Pyr!$D$19+SMR!$E$9,"",Pyr!$D$33)))</f>
        <v>249.68496849684971</v>
      </c>
      <c r="N26" s="430">
        <f>IF($B26=Pyr!$E$9,M26/(1+Pyr!$D$22)^C26,IF($B26&lt;Pyr!$E$9,"",IF($B26&gt;Pyr!$D$19+Pyr!$E$9,"",M26/(1+Pyr!$D$22)^C26)))</f>
        <v>67.745161524932982</v>
      </c>
    </row>
    <row r="27" spans="2:14">
      <c r="B27" s="424">
        <v>2045</v>
      </c>
      <c r="C27" s="431">
        <f>IF($B27=Pyr!$E$9,B27-HOME!$A$9,IF($B27&lt;Pyr!$E$9,"",IF($B27&gt;Pyr!$D$19+Pyr!$E$9,"",B27-HOME!$A$9)))</f>
        <v>23</v>
      </c>
      <c r="D27" s="426" cm="1">
        <f t="array" ref="D27">IF(B27=Pyr!$E$9,"",IF(B27&lt;Pyr!$E$9,"",IF(B27&gt;Pyr!$D$19+Pyr!$E$9,"",IF(INDEX(Tb_Fuel[],MATCH(B27,Tb_Fuel[Year],0),HLOOKUP(Pyr!$E$8&amp;" - Gas",'Fuel Data'!$BB$2:$BX$3,2,FALSE)+1)=0,INDEX(Tb_Fuel[],MATCH(B27,Tb_Fuel[Year],0),HLOOKUP(Pyr!$E$8&amp;" - Gas",'Fuel Data'!$BB$2:$BX$3,2,FALSE)+1),INDEX(Tb_Fuel[],MATCH(B27,Tb_Fuel[Year],0),HLOOKUP(Pyr!$E$8&amp;" - Gas",'Fuel Data'!$BB$2:$BX$3,2,FALSE)+1)))))</f>
        <v>2.8250000000000001E-2</v>
      </c>
      <c r="E27" s="426">
        <f>IF(B27=Pyr!$E$9,Pyr!$D$16,IF(B27&lt;Pyr!$E$9,"",IF(B27&gt;Pyr!$D$19+Pyr!$E$9,"",0)))</f>
        <v>0</v>
      </c>
      <c r="F27" s="426">
        <f>IF(B27=Pyr!$E$9,0,IF(B27&lt;Pyr!$E$9,"",IF(B27&gt;Pyr!$D$19+Pyr!$E$9,"",Pyr!$D$16*Pyr!$D$18)))</f>
        <v>35.4</v>
      </c>
      <c r="G27" s="426">
        <f>IF($B27=Pyr!$E$9,0,IF($B27&lt;Pyr!$E$9,"",IF($B27&gt;Pyr!$D$19+Pyr!$E$9,"",IF(ISBLANK(Pyr!$C$24),D27*Pyr!$D$21*'General values'!$B$26*'CFA Pyrolysis'!M27,Pyr!$D$24*Pyr!$D$21*'General values'!$B$26*'CFA Pyrolysis'!M27))))</f>
        <v>490.14446129837984</v>
      </c>
      <c r="H27" s="426">
        <f>IF($B27=Pyr!$E$9,0,IF($B27&lt;Pyr!$E$9,"",IF($B27&gt;Pyr!$D$19+Pyr!$E$9,"",IF(Pyr!$C$27="Yes",-Pyr!$D$28*Pyr!$D$33*Pyr!$D$26,0))))</f>
        <v>0</v>
      </c>
      <c r="I27" s="426">
        <f>IF($B27=Pyr!$E$9,SUM(E27:H27),IF($B27&lt;Pyr!$E$9,"",IF($B27&gt;Pyr!$D$19+Pyr!$E$9,"",SUM(E27:H27))))</f>
        <v>525.54446129837982</v>
      </c>
      <c r="J27" s="426">
        <f>IF($B27=Pyr!$E$9,G27/(1+Pyr!$D$22)^C27,IF($B27&lt;Pyr!$E$9,"",IF($B27&gt;Pyr!$D$19+Pyr!$E$9,"",G27/(1+Pyr!$D$22)^C27)))</f>
        <v>125.33124176380511</v>
      </c>
      <c r="K27" s="426">
        <f>IF($B27=Pyr!$E$9,H27/(1+Pyr!$D$22)^C27,IF($B27&lt;Pyr!$E$9,"",IF($B27&gt;Pyr!$D$19+Pyr!$E$9,"",H27/(1+Pyr!$D$22)^C27)))</f>
        <v>0</v>
      </c>
      <c r="L27" s="426">
        <f>IF($B27=Pyr!$E$9,I27/(1+Pyr!$D$22)^C27,IF($B27&lt;Pyr!$E$9,"",IF($B27&gt;Pyr!$D$19+Pyr!$E$9,"",I27/(1+Pyr!$D$22)^C27)))</f>
        <v>134.38311587187098</v>
      </c>
      <c r="M27" s="429">
        <f>IF($B27=Pyr!$E$9,0,IF($B27&lt;Pyr!$E$9,"",IF($B27&gt;Pyr!$D$19+SMR!$E$9,"",Pyr!$D$33)))</f>
        <v>249.68496849684971</v>
      </c>
      <c r="N27" s="430">
        <f>IF($B27=Pyr!$E$9,M27/(1+Pyr!$D$22)^C27,IF($B27&lt;Pyr!$E$9,"",IF($B27&gt;Pyr!$D$19+Pyr!$E$9,"",M27/(1+Pyr!$D$22)^C27)))</f>
        <v>63.845110212143432</v>
      </c>
    </row>
    <row r="28" spans="2:14">
      <c r="B28" s="424">
        <v>2046</v>
      </c>
      <c r="C28" s="431">
        <f>IF($B28=Pyr!$E$9,B28-HOME!$A$9,IF($B28&lt;Pyr!$E$9,"",IF($B28&gt;Pyr!$D$19+Pyr!$E$9,"",B28-HOME!$A$9)))</f>
        <v>24</v>
      </c>
      <c r="D28" s="426" cm="1">
        <f t="array" ref="D28">IF(B28=Pyr!$E$9,"",IF(B28&lt;Pyr!$E$9,"",IF(B28&gt;Pyr!$D$19+Pyr!$E$9,"",IF(INDEX(Tb_Fuel[],MATCH(B28,Tb_Fuel[Year],0),HLOOKUP(Pyr!$E$8&amp;" - Gas",'Fuel Data'!$BB$2:$BX$3,2,FALSE)+1)=0,INDEX(Tb_Fuel[],MATCH(B28,Tb_Fuel[Year],0),HLOOKUP(Pyr!$E$8&amp;" - Gas",'Fuel Data'!$BB$2:$BX$3,2,FALSE)+1),INDEX(Tb_Fuel[],MATCH(B28,Tb_Fuel[Year],0),HLOOKUP(Pyr!$E$8&amp;" - Gas",'Fuel Data'!$BB$2:$BX$3,2,FALSE)+1)))))</f>
        <v>2.8250000000000001E-2</v>
      </c>
      <c r="E28" s="426">
        <f>IF(B28=Pyr!$E$9,Pyr!$D$16,IF(B28&lt;Pyr!$E$9,"",IF(B28&gt;Pyr!$D$19+Pyr!$E$9,"",0)))</f>
        <v>0</v>
      </c>
      <c r="F28" s="426">
        <f>IF(B28=Pyr!$E$9,0,IF(B28&lt;Pyr!$E$9,"",IF(B28&gt;Pyr!$D$19+Pyr!$E$9,"",Pyr!$D$16*Pyr!$D$18)))</f>
        <v>35.4</v>
      </c>
      <c r="G28" s="426">
        <f>IF($B28=Pyr!$E$9,0,IF($B28&lt;Pyr!$E$9,"",IF($B28&gt;Pyr!$D$19+Pyr!$E$9,"",IF(ISBLANK(Pyr!$C$24),D28*Pyr!$D$21*'General values'!$B$26*'CFA Pyrolysis'!M28,Pyr!$D$24*Pyr!$D$21*'General values'!$B$26*'CFA Pyrolysis'!M28))))</f>
        <v>490.14446129837984</v>
      </c>
      <c r="H28" s="426">
        <f>IF($B28=Pyr!$E$9,0,IF($B28&lt;Pyr!$E$9,"",IF($B28&gt;Pyr!$D$19+Pyr!$E$9,"",IF(Pyr!$C$27="Yes",-Pyr!$D$28*Pyr!$D$33*Pyr!$D$26,0))))</f>
        <v>0</v>
      </c>
      <c r="I28" s="426">
        <f>IF($B28=Pyr!$E$9,SUM(E28:H28),IF($B28&lt;Pyr!$E$9,"",IF($B28&gt;Pyr!$D$19+Pyr!$E$9,"",SUM(E28:H28))))</f>
        <v>525.54446129837982</v>
      </c>
      <c r="J28" s="426">
        <f>IF($B28=Pyr!$E$9,G28/(1+Pyr!$D$22)^C28,IF($B28&lt;Pyr!$E$9,"",IF($B28&gt;Pyr!$D$19+Pyr!$E$9,"",G28/(1+Pyr!$D$22)^C28)))</f>
        <v>118.11599180393047</v>
      </c>
      <c r="K28" s="426">
        <f>IF($B28=Pyr!$E$9,H28/(1+Pyr!$D$22)^C28,IF($B28&lt;Pyr!$E$9,"",IF($B28&gt;Pyr!$D$19+Pyr!$E$9,"",H28/(1+Pyr!$D$22)^C28)))</f>
        <v>0</v>
      </c>
      <c r="L28" s="426">
        <f>IF($B28=Pyr!$E$9,I28/(1+Pyr!$D$22)^C28,IF($B28&lt;Pyr!$E$9,"",IF($B28&gt;Pyr!$D$19+Pyr!$E$9,"",I28/(1+Pyr!$D$22)^C28)))</f>
        <v>126.64675454841394</v>
      </c>
      <c r="M28" s="429">
        <f>IF($B28=Pyr!$E$9,0,IF($B28&lt;Pyr!$E$9,"",IF($B28&gt;Pyr!$D$19+SMR!$E$9,"",Pyr!$D$33)))</f>
        <v>249.68496849684971</v>
      </c>
      <c r="N28" s="430">
        <f>IF($B28=Pyr!$E$9,M28/(1+Pyr!$D$22)^C28,IF($B28&lt;Pyr!$E$9,"",IF($B28&gt;Pyr!$D$19+Pyr!$E$9,"",M28/(1+Pyr!$D$22)^C28)))</f>
        <v>60.169582686735993</v>
      </c>
    </row>
    <row r="29" spans="2:14">
      <c r="B29" s="424">
        <v>2047</v>
      </c>
      <c r="C29" s="431">
        <f>IF($B29=Pyr!$E$9,B29-HOME!$A$9,IF($B29&lt;Pyr!$E$9,"",IF($B29&gt;Pyr!$D$19+Pyr!$E$9,"",B29-HOME!$A$9)))</f>
        <v>25</v>
      </c>
      <c r="D29" s="426" cm="1">
        <f t="array" ref="D29">IF(B29=Pyr!$E$9,"",IF(B29&lt;Pyr!$E$9,"",IF(B29&gt;Pyr!$D$19+Pyr!$E$9,"",IF(INDEX(Tb_Fuel[],MATCH(B29,Tb_Fuel[Year],0),HLOOKUP(Pyr!$E$8&amp;" - Gas",'Fuel Data'!$BB$2:$BX$3,2,FALSE)+1)=0,INDEX(Tb_Fuel[],MATCH(B29,Tb_Fuel[Year],0),HLOOKUP(Pyr!$E$8&amp;" - Gas",'Fuel Data'!$BB$2:$BX$3,2,FALSE)+1),INDEX(Tb_Fuel[],MATCH(B29,Tb_Fuel[Year],0),HLOOKUP(Pyr!$E$8&amp;" - Gas",'Fuel Data'!$BB$2:$BX$3,2,FALSE)+1)))))</f>
        <v>2.8250000000000001E-2</v>
      </c>
      <c r="E29" s="426">
        <f>IF(B29=Pyr!$E$9,Pyr!$D$16,IF(B29&lt;Pyr!$E$9,"",IF(B29&gt;Pyr!$D$19+Pyr!$E$9,"",0)))</f>
        <v>0</v>
      </c>
      <c r="F29" s="426">
        <f>IF(B29=Pyr!$E$9,0,IF(B29&lt;Pyr!$E$9,"",IF(B29&gt;Pyr!$D$19+Pyr!$E$9,"",Pyr!$D$16*Pyr!$D$18)))</f>
        <v>35.4</v>
      </c>
      <c r="G29" s="426">
        <f>IF($B29=Pyr!$E$9,0,IF($B29&lt;Pyr!$E$9,"",IF($B29&gt;Pyr!$D$19+Pyr!$E$9,"",IF(ISBLANK(Pyr!$C$24),D29*Pyr!$D$21*'General values'!$B$26*'CFA Pyrolysis'!M29,Pyr!$D$24*Pyr!$D$21*'General values'!$B$26*'CFA Pyrolysis'!M29))))</f>
        <v>490.14446129837984</v>
      </c>
      <c r="H29" s="426">
        <f>IF($B29=Pyr!$E$9,0,IF($B29&lt;Pyr!$E$9,"",IF($B29&gt;Pyr!$D$19+Pyr!$E$9,"",IF(Pyr!$C$27="Yes",-Pyr!$D$28*Pyr!$D$33*Pyr!$D$26,0))))</f>
        <v>0</v>
      </c>
      <c r="I29" s="426">
        <f>IF($B29=Pyr!$E$9,SUM(E29:H29),IF($B29&lt;Pyr!$E$9,"",IF($B29&gt;Pyr!$D$19+Pyr!$E$9,"",SUM(E29:H29))))</f>
        <v>525.54446129837982</v>
      </c>
      <c r="J29" s="426">
        <f>IF($B29=Pyr!$E$9,G29/(1+Pyr!$D$22)^C29,IF($B29&lt;Pyr!$E$9,"",IF($B29&gt;Pyr!$D$19+Pyr!$E$9,"",G29/(1+Pyr!$D$22)^C29)))</f>
        <v>111.31611977577364</v>
      </c>
      <c r="K29" s="426">
        <f>IF($B29=Pyr!$E$9,H29/(1+Pyr!$D$22)^C29,IF($B29&lt;Pyr!$E$9,"",IF($B29&gt;Pyr!$D$19+Pyr!$E$9,"",H29/(1+Pyr!$D$22)^C29)))</f>
        <v>0</v>
      </c>
      <c r="L29" s="426">
        <f>IF($B29=Pyr!$E$9,I29/(1+Pyr!$D$22)^C29,IF($B29&lt;Pyr!$E$9,"",IF($B29&gt;Pyr!$D$19+Pyr!$E$9,"",I29/(1+Pyr!$D$22)^C29)))</f>
        <v>119.35577124836982</v>
      </c>
      <c r="M29" s="429">
        <f>IF($B29=Pyr!$E$9,0,IF($B29&lt;Pyr!$E$9,"",IF($B29&gt;Pyr!$D$19+SMR!$E$9,"",Pyr!$D$33)))</f>
        <v>249.68496849684971</v>
      </c>
      <c r="N29" s="430">
        <f>IF($B29=Pyr!$E$9,M29/(1+Pyr!$D$22)^C29,IF($B29&lt;Pyr!$E$9,"",IF($B29&gt;Pyr!$D$19+Pyr!$E$9,"",M29/(1+Pyr!$D$22)^C29)))</f>
        <v>56.705653239006544</v>
      </c>
    </row>
    <row r="30" spans="2:14">
      <c r="B30" s="424">
        <v>2048</v>
      </c>
      <c r="C30" s="431" t="str">
        <f>IF($B30=Pyr!$E$9,B30-HOME!$A$9,IF($B30&lt;Pyr!$E$9,"",IF($B30&gt;Pyr!$D$19+Pyr!$E$9,"",B30-HOME!$A$9)))</f>
        <v/>
      </c>
      <c r="D30" s="426" t="str" cm="1">
        <f t="array" ref="D30">IF(B30=Pyr!$E$9,"",IF(B30&lt;Pyr!$E$9,"",IF(B30&gt;Pyr!$D$19+Pyr!$E$9,"",IF(INDEX(Tb_Fuel[],MATCH(B30,Tb_Fuel[Year],0),HLOOKUP(Pyr!$E$8&amp;" - Gas",'Fuel Data'!$BB$2:$BX$3,2,FALSE)+1)=0,INDEX(Tb_Fuel[],MATCH(B30,Tb_Fuel[Year],0),HLOOKUP(Pyr!$E$8&amp;" - Gas",'Fuel Data'!$BB$2:$BX$3,2,FALSE)+1),INDEX(Tb_Fuel[],MATCH(B30,Tb_Fuel[Year],0),HLOOKUP(Pyr!$E$8&amp;" - Gas",'Fuel Data'!$BB$2:$BX$3,2,FALSE)+1)))))</f>
        <v/>
      </c>
      <c r="E30" s="426" t="str">
        <f>IF(B30=Pyr!$E$9,Pyr!$D$16,IF(B30&lt;Pyr!$E$9,"",IF(B30&gt;Pyr!$D$19+Pyr!$E$9,"",0)))</f>
        <v/>
      </c>
      <c r="F30" s="426" t="str">
        <f>IF(B30=Pyr!$E$9,0,IF(B30&lt;Pyr!$E$9,"",IF(B30&gt;Pyr!$D$19+Pyr!$E$9,"",Pyr!$D$16*Pyr!$D$18)))</f>
        <v/>
      </c>
      <c r="G30" s="426" t="str">
        <f>IF($B30=Pyr!$E$9,0,IF($B30&lt;Pyr!$E$9,"",IF($B30&gt;Pyr!$D$19+Pyr!$E$9,"",IF(ISBLANK(Pyr!$C$24),D30*Pyr!$D$21*'General values'!$B$26*'CFA Pyrolysis'!M30,Pyr!$D$24*Pyr!$D$21*'General values'!$B$26*'CFA Pyrolysis'!M30))))</f>
        <v/>
      </c>
      <c r="H30" s="426" t="str">
        <f>IF($B30=Pyr!$E$9,0,IF($B30&lt;Pyr!$E$9,"",IF($B30&gt;Pyr!$D$19+Pyr!$E$9,"",IF(Pyr!$C$27="Yes",-Pyr!$D$28*Pyr!$D$33*Pyr!$D$26,0))))</f>
        <v/>
      </c>
      <c r="I30" s="426" t="str">
        <f>IF($B30=Pyr!$E$9,SUM(E30:H30),IF($B30&lt;Pyr!$E$9,"",IF($B30&gt;Pyr!$D$19+Pyr!$E$9,"",SUM(E30:H30))))</f>
        <v/>
      </c>
      <c r="J30" s="426" t="str">
        <f>IF($B30=Pyr!$E$9,G30/(1+Pyr!$D$22)^C30,IF($B30&lt;Pyr!$E$9,"",IF($B30&gt;Pyr!$D$19+Pyr!$E$9,"",G30/(1+Pyr!$D$22)^C30)))</f>
        <v/>
      </c>
      <c r="K30" s="426" t="str">
        <f>IF($B30=Pyr!$E$9,H30/(1+Pyr!$D$22)^C30,IF($B30&lt;Pyr!$E$9,"",IF($B30&gt;Pyr!$D$19+Pyr!$E$9,"",H30/(1+Pyr!$D$22)^C30)))</f>
        <v/>
      </c>
      <c r="L30" s="426" t="str">
        <f>IF($B30=Pyr!$E$9,I30/(1+Pyr!$D$22)^C30,IF($B30&lt;Pyr!$E$9,"",IF($B30&gt;Pyr!$D$19+Pyr!$E$9,"",I30/(1+Pyr!$D$22)^C30)))</f>
        <v/>
      </c>
      <c r="M30" s="429" t="str">
        <f>IF($B30=Pyr!$E$9,0,IF($B30&lt;Pyr!$E$9,"",IF($B30&gt;Pyr!$D$19+SMR!$E$9,"",Pyr!$D$33)))</f>
        <v/>
      </c>
      <c r="N30" s="430" t="str">
        <f>IF($B30=Pyr!$E$9,M30/(1+Pyr!$D$22)^C30,IF($B30&lt;Pyr!$E$9,"",IF($B30&gt;Pyr!$D$19+Pyr!$E$9,"",M30/(1+Pyr!$D$22)^C30)))</f>
        <v/>
      </c>
    </row>
    <row r="31" spans="2:14">
      <c r="B31" s="424">
        <v>2049</v>
      </c>
      <c r="C31" s="431" t="str">
        <f>IF($B31=Pyr!$E$9,B31-HOME!$A$9,IF($B31&lt;Pyr!$E$9,"",IF($B31&gt;Pyr!$D$19+Pyr!$E$9,"",B31-HOME!$A$9)))</f>
        <v/>
      </c>
      <c r="D31" s="426" t="str" cm="1">
        <f t="array" ref="D31">IF(B31=Pyr!$E$9,"",IF(B31&lt;Pyr!$E$9,"",IF(B31&gt;Pyr!$D$19+Pyr!$E$9,"",IF(INDEX(Tb_Fuel[],MATCH(B31,Tb_Fuel[Year],0),HLOOKUP(Pyr!$E$8&amp;" - Gas",'Fuel Data'!$BB$2:$BX$3,2,FALSE)+1)=0,INDEX(Tb_Fuel[],MATCH(B31,Tb_Fuel[Year],0),HLOOKUP(Pyr!$E$8&amp;" - Gas",'Fuel Data'!$BB$2:$BX$3,2,FALSE)+1),INDEX(Tb_Fuel[],MATCH(B31,Tb_Fuel[Year],0),HLOOKUP(Pyr!$E$8&amp;" - Gas",'Fuel Data'!$BB$2:$BX$3,2,FALSE)+1)))))</f>
        <v/>
      </c>
      <c r="E31" s="426" t="str">
        <f>IF(B31=Pyr!$E$9,Pyr!$D$16,IF(B31&lt;Pyr!$E$9,"",IF(B31&gt;Pyr!$D$19+Pyr!$E$9,"",0)))</f>
        <v/>
      </c>
      <c r="F31" s="426" t="str">
        <f>IF(B31=Pyr!$E$9,0,IF(B31&lt;Pyr!$E$9,"",IF(B31&gt;Pyr!$D$19+Pyr!$E$9,"",Pyr!$D$16*Pyr!$D$18)))</f>
        <v/>
      </c>
      <c r="G31" s="426" t="str">
        <f>IF($B31=Pyr!$E$9,0,IF($B31&lt;Pyr!$E$9,"",IF($B31&gt;Pyr!$D$19+Pyr!$E$9,"",IF(ISBLANK(Pyr!$C$24),D31*Pyr!$D$21*'General values'!$B$26*'CFA Pyrolysis'!M31,Pyr!$D$24*Pyr!$D$21*'General values'!$B$26*'CFA Pyrolysis'!M31))))</f>
        <v/>
      </c>
      <c r="H31" s="426" t="str">
        <f>IF($B31=Pyr!$E$9,0,IF($B31&lt;Pyr!$E$9,"",IF($B31&gt;Pyr!$D$19+Pyr!$E$9,"",IF(Pyr!$C$27="Yes",-Pyr!$D$28*Pyr!$D$33*Pyr!$D$26,0))))</f>
        <v/>
      </c>
      <c r="I31" s="426" t="str">
        <f>IF($B31=Pyr!$E$9,SUM(E31:H31),IF($B31&lt;Pyr!$E$9,"",IF($B31&gt;Pyr!$D$19+Pyr!$E$9,"",SUM(E31:H31))))</f>
        <v/>
      </c>
      <c r="J31" s="426" t="str">
        <f>IF($B31=Pyr!$E$9,G31/(1+Pyr!$D$22)^C31,IF($B31&lt;Pyr!$E$9,"",IF($B31&gt;Pyr!$D$19+Pyr!$E$9,"",G31/(1+Pyr!$D$22)^C31)))</f>
        <v/>
      </c>
      <c r="K31" s="426" t="str">
        <f>IF($B31=Pyr!$E$9,H31/(1+Pyr!$D$22)^C31,IF($B31&lt;Pyr!$E$9,"",IF($B31&gt;Pyr!$D$19+Pyr!$E$9,"",H31/(1+Pyr!$D$22)^C31)))</f>
        <v/>
      </c>
      <c r="L31" s="426" t="str">
        <f>IF($B31=Pyr!$E$9,I31/(1+Pyr!$D$22)^C31,IF($B31&lt;Pyr!$E$9,"",IF($B31&gt;Pyr!$D$19+Pyr!$E$9,"",I31/(1+Pyr!$D$22)^C31)))</f>
        <v/>
      </c>
      <c r="M31" s="429" t="str">
        <f>IF($B31=Pyr!$E$9,0,IF($B31&lt;Pyr!$E$9,"",IF($B31&gt;Pyr!$D$19+SMR!$E$9,"",Pyr!$D$33)))</f>
        <v/>
      </c>
      <c r="N31" s="430" t="str">
        <f>IF($B31=Pyr!$E$9,M31/(1+Pyr!$D$22)^C31,IF($B31&lt;Pyr!$E$9,"",IF($B31&gt;Pyr!$D$19+Pyr!$E$9,"",M31/(1+Pyr!$D$22)^C31)))</f>
        <v/>
      </c>
    </row>
    <row r="32" spans="2:14">
      <c r="B32" s="424">
        <v>2050</v>
      </c>
      <c r="C32" s="431" t="str">
        <f>IF($B32=Pyr!$E$9,B32-HOME!$A$9,IF($B32&lt;Pyr!$E$9,"",IF($B32&gt;Pyr!$D$19+Pyr!$E$9,"",B32-HOME!$A$9)))</f>
        <v/>
      </c>
      <c r="D32" s="426" t="str" cm="1">
        <f t="array" ref="D32">IF(B32=Pyr!$E$9,"",IF(B32&lt;Pyr!$E$9,"",IF(B32&gt;Pyr!$D$19+Pyr!$E$9,"",IF(INDEX(Tb_Fuel[],MATCH(B32,Tb_Fuel[Year],0),HLOOKUP(Pyr!$E$8&amp;" - Gas",'Fuel Data'!$BB$2:$BX$3,2,FALSE)+1)=0,INDEX(Tb_Fuel[],MATCH(B32,Tb_Fuel[Year],0),HLOOKUP(Pyr!$E$8&amp;" - Gas",'Fuel Data'!$BB$2:$BX$3,2,FALSE)+1),INDEX(Tb_Fuel[],MATCH(B32,Tb_Fuel[Year],0),HLOOKUP(Pyr!$E$8&amp;" - Gas",'Fuel Data'!$BB$2:$BX$3,2,FALSE)+1)))))</f>
        <v/>
      </c>
      <c r="E32" s="426" t="str">
        <f>IF(B32=Pyr!$E$9,Pyr!$D$16,IF(B32&lt;Pyr!$E$9,"",IF(B32&gt;Pyr!$D$19+Pyr!$E$9,"",0)))</f>
        <v/>
      </c>
      <c r="F32" s="426" t="str">
        <f>IF(B32=Pyr!$E$9,0,IF(B32&lt;Pyr!$E$9,"",IF(B32&gt;Pyr!$D$19+Pyr!$E$9,"",Pyr!$D$16*Pyr!$D$18)))</f>
        <v/>
      </c>
      <c r="G32" s="426" t="str">
        <f>IF($B32=Pyr!$E$9,0,IF($B32&lt;Pyr!$E$9,"",IF($B32&gt;Pyr!$D$19+Pyr!$E$9,"",IF(ISBLANK(Pyr!$C$24),D32*Pyr!$D$21*'General values'!$B$26*'CFA Pyrolysis'!M32,Pyr!$D$24*Pyr!$D$21*'General values'!$B$26*'CFA Pyrolysis'!M32))))</f>
        <v/>
      </c>
      <c r="H32" s="426" t="str">
        <f>IF($B32=Pyr!$E$9,0,IF($B32&lt;Pyr!$E$9,"",IF($B32&gt;Pyr!$D$19+Pyr!$E$9,"",IF(Pyr!$C$27="Yes",-Pyr!$D$28*Pyr!$D$33*Pyr!$D$26,0))))</f>
        <v/>
      </c>
      <c r="I32" s="426" t="str">
        <f>IF($B32=Pyr!$E$9,SUM(E32:H32),IF($B32&lt;Pyr!$E$9,"",IF($B32&gt;Pyr!$D$19+Pyr!$E$9,"",SUM(E32:H32))))</f>
        <v/>
      </c>
      <c r="J32" s="426" t="str">
        <f>IF($B32=Pyr!$E$9,G32/(1+Pyr!$D$22)^C32,IF($B32&lt;Pyr!$E$9,"",IF($B32&gt;Pyr!$D$19+Pyr!$E$9,"",G32/(1+Pyr!$D$22)^C32)))</f>
        <v/>
      </c>
      <c r="K32" s="426" t="str">
        <f>IF($B32=Pyr!$E$9,H32/(1+Pyr!$D$22)^C32,IF($B32&lt;Pyr!$E$9,"",IF($B32&gt;Pyr!$D$19+Pyr!$E$9,"",H32/(1+Pyr!$D$22)^C32)))</f>
        <v/>
      </c>
      <c r="L32" s="426" t="str">
        <f>IF($B32=Pyr!$E$9,I32/(1+Pyr!$D$22)^C32,IF($B32&lt;Pyr!$E$9,"",IF($B32&gt;Pyr!$D$19+Pyr!$E$9,"",I32/(1+Pyr!$D$22)^C32)))</f>
        <v/>
      </c>
      <c r="M32" s="429" t="str">
        <f>IF($B32=Pyr!$E$9,0,IF($B32&lt;Pyr!$E$9,"",IF($B32&gt;Pyr!$D$19+SMR!$E$9,"",Pyr!$D$33)))</f>
        <v/>
      </c>
      <c r="N32" s="430" t="str">
        <f>IF($B32=Pyr!$E$9,M32/(1+Pyr!$D$22)^C32,IF($B32&lt;Pyr!$E$9,"",IF($B32&gt;Pyr!$D$19+Pyr!$E$9,"",M32/(1+Pyr!$D$22)^C32)))</f>
        <v/>
      </c>
    </row>
    <row r="33" spans="2:14">
      <c r="B33" s="424">
        <v>2051</v>
      </c>
      <c r="C33" s="431" t="str">
        <f>IF($B33=Pyr!$E$9,B33-HOME!$A$9,IF($B33&lt;Pyr!$E$9,"",IF($B33&gt;Pyr!$D$19+Pyr!$E$9,"",B33-HOME!$A$9)))</f>
        <v/>
      </c>
      <c r="D33" s="426" t="str" cm="1">
        <f t="array" ref="D33">IF(B33=Pyr!$E$9,"",IF(B33&lt;Pyr!$E$9,"",IF(B33&gt;Pyr!$D$19+Pyr!$E$9,"",IF(INDEX(Tb_Fuel[],MATCH(B33,Tb_Fuel[Year],0),HLOOKUP(Pyr!$E$8&amp;" - Gas",'Fuel Data'!$BB$2:$BX$3,2,FALSE)+1)=0,INDEX(Tb_Fuel[],MATCH(B33,Tb_Fuel[Year],0),HLOOKUP(Pyr!$E$8&amp;" - Gas",'Fuel Data'!$BB$2:$BX$3,2,FALSE)+1),INDEX(Tb_Fuel[],MATCH(B33,Tb_Fuel[Year],0),HLOOKUP(Pyr!$E$8&amp;" - Gas",'Fuel Data'!$BB$2:$BX$3,2,FALSE)+1)))))</f>
        <v/>
      </c>
      <c r="E33" s="426" t="str">
        <f>IF(B33=Pyr!$E$9,Pyr!$D$16,IF(B33&lt;Pyr!$E$9,"",IF(B33&gt;Pyr!$D$19+Pyr!$E$9,"",0)))</f>
        <v/>
      </c>
      <c r="F33" s="426" t="str">
        <f>IF(B33=Pyr!$E$9,0,IF(B33&lt;Pyr!$E$9,"",IF(B33&gt;Pyr!$D$19+Pyr!$E$9,"",Pyr!$D$16*Pyr!$D$18)))</f>
        <v/>
      </c>
      <c r="G33" s="426" t="str">
        <f>IF($B33=Pyr!$E$9,0,IF($B33&lt;Pyr!$E$9,"",IF($B33&gt;Pyr!$D$19+Pyr!$E$9,"",IF(ISBLANK(Pyr!$C$24),D33*Pyr!$D$21*'General values'!$B$26*'CFA Pyrolysis'!M33,Pyr!$D$24*Pyr!$D$21*'General values'!$B$26*'CFA Pyrolysis'!M33))))</f>
        <v/>
      </c>
      <c r="H33" s="426" t="str">
        <f>IF($B33=Pyr!$E$9,0,IF($B33&lt;Pyr!$E$9,"",IF($B33&gt;Pyr!$D$19+Pyr!$E$9,"",IF(Pyr!$C$27="Yes",-Pyr!$D$28*Pyr!$D$33*Pyr!$D$26,0))))</f>
        <v/>
      </c>
      <c r="I33" s="426" t="str">
        <f>IF($B33=Pyr!$E$9,SUM(E33:H33),IF($B33&lt;Pyr!$E$9,"",IF($B33&gt;Pyr!$D$19+Pyr!$E$9,"",SUM(E33:H33))))</f>
        <v/>
      </c>
      <c r="J33" s="426" t="str">
        <f>IF($B33=Pyr!$E$9,G33/(1+Pyr!$D$22)^C33,IF($B33&lt;Pyr!$E$9,"",IF($B33&gt;Pyr!$D$19+Pyr!$E$9,"",G33/(1+Pyr!$D$22)^C33)))</f>
        <v/>
      </c>
      <c r="K33" s="426" t="str">
        <f>IF($B33=Pyr!$E$9,H33/(1+Pyr!$D$22)^C33,IF($B33&lt;Pyr!$E$9,"",IF($B33&gt;Pyr!$D$19+Pyr!$E$9,"",H33/(1+Pyr!$D$22)^C33)))</f>
        <v/>
      </c>
      <c r="L33" s="426" t="str">
        <f>IF($B33=Pyr!$E$9,I33/(1+Pyr!$D$22)^C33,IF($B33&lt;Pyr!$E$9,"",IF($B33&gt;Pyr!$D$19+Pyr!$E$9,"",I33/(1+Pyr!$D$22)^C33)))</f>
        <v/>
      </c>
      <c r="M33" s="429" t="str">
        <f>IF($B33=Pyr!$E$9,0,IF($B33&lt;Pyr!$E$9,"",IF($B33&gt;Pyr!$D$19+SMR!$E$9,"",Pyr!$D$33)))</f>
        <v/>
      </c>
      <c r="N33" s="430" t="str">
        <f>IF($B33=Pyr!$E$9,M33/(1+Pyr!$D$22)^C33,IF($B33&lt;Pyr!$E$9,"",IF($B33&gt;Pyr!$D$19+Pyr!$E$9,"",M33/(1+Pyr!$D$22)^C33)))</f>
        <v/>
      </c>
    </row>
    <row r="34" spans="2:14">
      <c r="B34" s="424">
        <v>2052</v>
      </c>
      <c r="C34" s="431" t="str">
        <f>IF($B34=Pyr!$E$9,B34-HOME!$A$9,IF($B34&lt;Pyr!$E$9,"",IF($B34&gt;Pyr!$D$19+Pyr!$E$9,"",B34-HOME!$A$9)))</f>
        <v/>
      </c>
      <c r="D34" s="426" t="str" cm="1">
        <f t="array" ref="D34">IF(B34=Pyr!$E$9,"",IF(B34&lt;Pyr!$E$9,"",IF(B34&gt;Pyr!$D$19+Pyr!$E$9,"",IF(INDEX(Tb_Fuel[],MATCH(B34,Tb_Fuel[Year],0),HLOOKUP(Pyr!$E$8&amp;" - Gas",'Fuel Data'!$BB$2:$BX$3,2,FALSE)+1)=0,INDEX(Tb_Fuel[],MATCH(B34,Tb_Fuel[Year],0),HLOOKUP(Pyr!$E$8&amp;" - Gas",'Fuel Data'!$BB$2:$BX$3,2,FALSE)+1),INDEX(Tb_Fuel[],MATCH(B34,Tb_Fuel[Year],0),HLOOKUP(Pyr!$E$8&amp;" - Gas",'Fuel Data'!$BB$2:$BX$3,2,FALSE)+1)))))</f>
        <v/>
      </c>
      <c r="E34" s="426" t="str">
        <f>IF(B34=Pyr!$E$9,Pyr!$D$16,IF(B34&lt;Pyr!$E$9,"",IF(B34&gt;Pyr!$D$19+Pyr!$E$9,"",0)))</f>
        <v/>
      </c>
      <c r="F34" s="426" t="str">
        <f>IF(B34=Pyr!$E$9,0,IF(B34&lt;Pyr!$E$9,"",IF(B34&gt;Pyr!$D$19+Pyr!$E$9,"",Pyr!$D$16*Pyr!$D$18)))</f>
        <v/>
      </c>
      <c r="G34" s="426" t="str">
        <f>IF($B34=Pyr!$E$9,0,IF($B34&lt;Pyr!$E$9,"",IF($B34&gt;Pyr!$D$19+Pyr!$E$9,"",IF(ISBLANK(Pyr!$C$24),D34*Pyr!$D$21*'General values'!$B$26*'CFA Pyrolysis'!M34,Pyr!$D$24*Pyr!$D$21*'General values'!$B$26*'CFA Pyrolysis'!M34))))</f>
        <v/>
      </c>
      <c r="H34" s="426" t="str">
        <f>IF($B34=Pyr!$E$9,0,IF($B34&lt;Pyr!$E$9,"",IF($B34&gt;Pyr!$D$19+Pyr!$E$9,"",IF(Pyr!$C$27="Yes",-Pyr!$D$28*Pyr!$D$33*Pyr!$D$26,0))))</f>
        <v/>
      </c>
      <c r="I34" s="426" t="str">
        <f>IF($B34=Pyr!$E$9,SUM(E34:H34),IF($B34&lt;Pyr!$E$9,"",IF($B34&gt;Pyr!$D$19+Pyr!$E$9,"",SUM(E34:H34))))</f>
        <v/>
      </c>
      <c r="J34" s="426" t="str">
        <f>IF($B34=Pyr!$E$9,G34/(1+Pyr!$D$22)^C34,IF($B34&lt;Pyr!$E$9,"",IF($B34&gt;Pyr!$D$19+Pyr!$E$9,"",G34/(1+Pyr!$D$22)^C34)))</f>
        <v/>
      </c>
      <c r="K34" s="426" t="str">
        <f>IF($B34=Pyr!$E$9,H34/(1+Pyr!$D$22)^C34,IF($B34&lt;Pyr!$E$9,"",IF($B34&gt;Pyr!$D$19+Pyr!$E$9,"",H34/(1+Pyr!$D$22)^C34)))</f>
        <v/>
      </c>
      <c r="L34" s="426" t="str">
        <f>IF($B34=Pyr!$E$9,I34/(1+Pyr!$D$22)^C34,IF($B34&lt;Pyr!$E$9,"",IF($B34&gt;Pyr!$D$19+Pyr!$E$9,"",I34/(1+Pyr!$D$22)^C34)))</f>
        <v/>
      </c>
      <c r="M34" s="429" t="str">
        <f>IF($B34=Pyr!$E$9,0,IF($B34&lt;Pyr!$E$9,"",IF($B34&gt;Pyr!$D$19+SMR!$E$9,"",Pyr!$D$33)))</f>
        <v/>
      </c>
      <c r="N34" s="430" t="str">
        <f>IF($B34=Pyr!$E$9,M34/(1+Pyr!$D$22)^C34,IF($B34&lt;Pyr!$E$9,"",IF($B34&gt;Pyr!$D$19+Pyr!$E$9,"",M34/(1+Pyr!$D$22)^C34)))</f>
        <v/>
      </c>
    </row>
    <row r="35" spans="2:14">
      <c r="B35" s="424">
        <v>2053</v>
      </c>
      <c r="C35" s="431" t="str">
        <f>IF($B35=Pyr!$E$9,B35-HOME!$A$9,IF($B35&lt;Pyr!$E$9,"",IF($B35&gt;Pyr!$D$19+Pyr!$E$9,"",B35-HOME!$A$9)))</f>
        <v/>
      </c>
      <c r="D35" s="426" t="str" cm="1">
        <f t="array" ref="D35">IF(B35=Pyr!$E$9,"",IF(B35&lt;Pyr!$E$9,"",IF(B35&gt;Pyr!$D$19+Pyr!$E$9,"",IF(INDEX(Tb_Fuel[],MATCH(B35,Tb_Fuel[Year],0),HLOOKUP(Pyr!$E$8&amp;" - Gas",'Fuel Data'!$BB$2:$BX$3,2,FALSE)+1)=0,INDEX(Tb_Fuel[],MATCH(B35,Tb_Fuel[Year],0),HLOOKUP(Pyr!$E$8&amp;" - Gas",'Fuel Data'!$BB$2:$BX$3,2,FALSE)+1),INDEX(Tb_Fuel[],MATCH(B35,Tb_Fuel[Year],0),HLOOKUP(Pyr!$E$8&amp;" - Gas",'Fuel Data'!$BB$2:$BX$3,2,FALSE)+1)))))</f>
        <v/>
      </c>
      <c r="E35" s="426" t="str">
        <f>IF(B35=Pyr!$E$9,Pyr!$D$16,IF(B35&lt;Pyr!$E$9,"",IF(B35&gt;Pyr!$D$19+Pyr!$E$9,"",0)))</f>
        <v/>
      </c>
      <c r="F35" s="426" t="str">
        <f>IF(B35=Pyr!$E$9,0,IF(B35&lt;Pyr!$E$9,"",IF(B35&gt;Pyr!$D$19+Pyr!$E$9,"",Pyr!$D$16*Pyr!$D$18)))</f>
        <v/>
      </c>
      <c r="G35" s="426" t="str">
        <f>IF($B35=Pyr!$E$9,0,IF($B35&lt;Pyr!$E$9,"",IF($B35&gt;Pyr!$D$19+Pyr!$E$9,"",IF(ISBLANK(Pyr!$C$24),D35*Pyr!$D$21*'General values'!$B$26*'CFA Pyrolysis'!M35,Pyr!$D$24*Pyr!$D$21*'General values'!$B$26*'CFA Pyrolysis'!M35))))</f>
        <v/>
      </c>
      <c r="H35" s="426" t="str">
        <f>IF($B35=Pyr!$E$9,0,IF($B35&lt;Pyr!$E$9,"",IF($B35&gt;Pyr!$D$19+Pyr!$E$9,"",IF(Pyr!$C$27="Yes",-Pyr!$D$28*Pyr!$D$33*Pyr!$D$26,0))))</f>
        <v/>
      </c>
      <c r="I35" s="426" t="str">
        <f>IF($B35=Pyr!$E$9,SUM(E35:H35),IF($B35&lt;Pyr!$E$9,"",IF($B35&gt;Pyr!$D$19+Pyr!$E$9,"",SUM(E35:H35))))</f>
        <v/>
      </c>
      <c r="J35" s="426" t="str">
        <f>IF($B35=Pyr!$E$9,G35/(1+Pyr!$D$22)^C35,IF($B35&lt;Pyr!$E$9,"",IF($B35&gt;Pyr!$D$19+Pyr!$E$9,"",G35/(1+Pyr!$D$22)^C35)))</f>
        <v/>
      </c>
      <c r="K35" s="426" t="str">
        <f>IF($B35=Pyr!$E$9,H35/(1+Pyr!$D$22)^C35,IF($B35&lt;Pyr!$E$9,"",IF($B35&gt;Pyr!$D$19+Pyr!$E$9,"",H35/(1+Pyr!$D$22)^C35)))</f>
        <v/>
      </c>
      <c r="L35" s="426" t="str">
        <f>IF($B35=Pyr!$E$9,I35/(1+Pyr!$D$22)^C35,IF($B35&lt;Pyr!$E$9,"",IF($B35&gt;Pyr!$D$19+Pyr!$E$9,"",I35/(1+Pyr!$D$22)^C35)))</f>
        <v/>
      </c>
      <c r="M35" s="429" t="str">
        <f>IF($B35=Pyr!$E$9,0,IF($B35&lt;Pyr!$E$9,"",IF($B35&gt;Pyr!$D$19+SMR!$E$9,"",Pyr!$D$33)))</f>
        <v/>
      </c>
      <c r="N35" s="430" t="str">
        <f>IF($B35=Pyr!$E$9,M35/(1+Pyr!$D$22)^C35,IF($B35&lt;Pyr!$E$9,"",IF($B35&gt;Pyr!$D$19+Pyr!$E$9,"",M35/(1+Pyr!$D$22)^C35)))</f>
        <v/>
      </c>
    </row>
    <row r="36" spans="2:14">
      <c r="B36" s="424">
        <v>2054</v>
      </c>
      <c r="C36" s="431" t="str">
        <f>IF($B36=Pyr!$E$9,B36-HOME!$A$9,IF($B36&lt;Pyr!$E$9,"",IF($B36&gt;Pyr!$D$19+Pyr!$E$9,"",B36-HOME!$A$9)))</f>
        <v/>
      </c>
      <c r="D36" s="426" t="str" cm="1">
        <f t="array" ref="D36">IF(B36=Pyr!$E$9,"",IF(B36&lt;Pyr!$E$9,"",IF(B36&gt;Pyr!$D$19+Pyr!$E$9,"",IF(INDEX(Tb_Fuel[],MATCH(B36,Tb_Fuel[Year],0),HLOOKUP(Pyr!$E$8&amp;" - Gas",'Fuel Data'!$BB$2:$BX$3,2,FALSE)+1)=0,INDEX(Tb_Fuel[],MATCH(B36,Tb_Fuel[Year],0),HLOOKUP(Pyr!$E$8&amp;" - Gas",'Fuel Data'!$BB$2:$BX$3,2,FALSE)+1),INDEX(Tb_Fuel[],MATCH(B36,Tb_Fuel[Year],0),HLOOKUP(Pyr!$E$8&amp;" - Gas",'Fuel Data'!$BB$2:$BX$3,2,FALSE)+1)))))</f>
        <v/>
      </c>
      <c r="E36" s="426" t="str">
        <f>IF(B36=Pyr!$E$9,Pyr!$D$16,IF(B36&lt;Pyr!$E$9,"",IF(B36&gt;Pyr!$D$19+Pyr!$E$9,"",0)))</f>
        <v/>
      </c>
      <c r="F36" s="426" t="str">
        <f>IF(B36=Pyr!$E$9,0,IF(B36&lt;Pyr!$E$9,"",IF(B36&gt;Pyr!$D$19+Pyr!$E$9,"",Pyr!$D$16*Pyr!$D$18)))</f>
        <v/>
      </c>
      <c r="G36" s="426" t="str">
        <f>IF($B36=Pyr!$E$9,0,IF($B36&lt;Pyr!$E$9,"",IF($B36&gt;Pyr!$D$19+Pyr!$E$9,"",IF(ISBLANK(Pyr!$C$24),D36*Pyr!$D$21*'General values'!$B$26*'CFA Pyrolysis'!M36,Pyr!$D$24*Pyr!$D$21*'General values'!$B$26*'CFA Pyrolysis'!M36))))</f>
        <v/>
      </c>
      <c r="H36" s="426" t="str">
        <f>IF($B36=Pyr!$E$9,0,IF($B36&lt;Pyr!$E$9,"",IF($B36&gt;Pyr!$D$19+Pyr!$E$9,"",IF(Pyr!$C$27="Yes",-Pyr!$D$28*Pyr!$D$33*Pyr!$D$26,0))))</f>
        <v/>
      </c>
      <c r="I36" s="426" t="str">
        <f>IF($B36=Pyr!$E$9,SUM(E36:H36),IF($B36&lt;Pyr!$E$9,"",IF($B36&gt;Pyr!$D$19+Pyr!$E$9,"",SUM(E36:H36))))</f>
        <v/>
      </c>
      <c r="J36" s="426" t="str">
        <f>IF($B36=Pyr!$E$9,G36/(1+Pyr!$D$22)^C36,IF($B36&lt;Pyr!$E$9,"",IF($B36&gt;Pyr!$D$19+Pyr!$E$9,"",G36/(1+Pyr!$D$22)^C36)))</f>
        <v/>
      </c>
      <c r="K36" s="426" t="str">
        <f>IF($B36=Pyr!$E$9,H36/(1+Pyr!$D$22)^C36,IF($B36&lt;Pyr!$E$9,"",IF($B36&gt;Pyr!$D$19+Pyr!$E$9,"",H36/(1+Pyr!$D$22)^C36)))</f>
        <v/>
      </c>
      <c r="L36" s="426" t="str">
        <f>IF($B36=Pyr!$E$9,I36/(1+Pyr!$D$22)^C36,IF($B36&lt;Pyr!$E$9,"",IF($B36&gt;Pyr!$D$19+Pyr!$E$9,"",I36/(1+Pyr!$D$22)^C36)))</f>
        <v/>
      </c>
      <c r="M36" s="429" t="str">
        <f>IF($B36=Pyr!$E$9,0,IF($B36&lt;Pyr!$E$9,"",IF($B36&gt;Pyr!$D$19+SMR!$E$9,"",Pyr!$D$33)))</f>
        <v/>
      </c>
      <c r="N36" s="430" t="str">
        <f>IF($B36=Pyr!$E$9,M36/(1+Pyr!$D$22)^C36,IF($B36&lt;Pyr!$E$9,"",IF($B36&gt;Pyr!$D$19+Pyr!$E$9,"",M36/(1+Pyr!$D$22)^C36)))</f>
        <v/>
      </c>
    </row>
    <row r="37" spans="2:14">
      <c r="B37" s="424">
        <v>2055</v>
      </c>
      <c r="C37" s="431" t="str">
        <f>IF($B37=Pyr!$E$9,B37-HOME!$A$9,IF($B37&lt;Pyr!$E$9,"",IF($B37&gt;Pyr!$D$19+Pyr!$E$9,"",B37-HOME!$A$9)))</f>
        <v/>
      </c>
      <c r="D37" s="426" t="str" cm="1">
        <f t="array" ref="D37">IF(B37=Pyr!$E$9,"",IF(B37&lt;Pyr!$E$9,"",IF(B37&gt;Pyr!$D$19+Pyr!$E$9,"",IF(INDEX(Tb_Fuel[],MATCH(B37,Tb_Fuel[Year],0),HLOOKUP(Pyr!$E$8&amp;" - Gas",'Fuel Data'!$BB$2:$BX$3,2,FALSE)+1)=0,INDEX(Tb_Fuel[],MATCH(B37,Tb_Fuel[Year],0),HLOOKUP(Pyr!$E$8&amp;" - Gas",'Fuel Data'!$BB$2:$BX$3,2,FALSE)+1),INDEX(Tb_Fuel[],MATCH(B37,Tb_Fuel[Year],0),HLOOKUP(Pyr!$E$8&amp;" - Gas",'Fuel Data'!$BB$2:$BX$3,2,FALSE)+1)))))</f>
        <v/>
      </c>
      <c r="E37" s="426" t="str">
        <f>IF(B37=Pyr!$E$9,Pyr!$D$16,IF(B37&lt;Pyr!$E$9,"",IF(B37&gt;Pyr!$D$19+Pyr!$E$9,"",0)))</f>
        <v/>
      </c>
      <c r="F37" s="426" t="str">
        <f>IF(B37=Pyr!$E$9,0,IF(B37&lt;Pyr!$E$9,"",IF(B37&gt;Pyr!$D$19+Pyr!$E$9,"",Pyr!$D$16*Pyr!$D$18)))</f>
        <v/>
      </c>
      <c r="G37" s="426" t="str">
        <f>IF($B37=Pyr!$E$9,0,IF($B37&lt;Pyr!$E$9,"",IF($B37&gt;Pyr!$D$19+Pyr!$E$9,"",IF(ISBLANK(Pyr!$C$24),D37*Pyr!$D$21*'General values'!$B$26*'CFA Pyrolysis'!M37,Pyr!$D$24*Pyr!$D$21*'General values'!$B$26*'CFA Pyrolysis'!M37))))</f>
        <v/>
      </c>
      <c r="H37" s="426" t="str">
        <f>IF($B37=Pyr!$E$9,0,IF($B37&lt;Pyr!$E$9,"",IF($B37&gt;Pyr!$D$19+Pyr!$E$9,"",IF(Pyr!$C$27="Yes",-Pyr!$D$28*Pyr!$D$33*Pyr!$D$26,0))))</f>
        <v/>
      </c>
      <c r="I37" s="426" t="str">
        <f>IF($B37=Pyr!$E$9,SUM(E37:H37),IF($B37&lt;Pyr!$E$9,"",IF($B37&gt;Pyr!$D$19+Pyr!$E$9,"",SUM(E37:H37))))</f>
        <v/>
      </c>
      <c r="J37" s="426" t="str">
        <f>IF($B37=Pyr!$E$9,G37/(1+Pyr!$D$22)^C37,IF($B37&lt;Pyr!$E$9,"",IF($B37&gt;Pyr!$D$19+Pyr!$E$9,"",G37/(1+Pyr!$D$22)^C37)))</f>
        <v/>
      </c>
      <c r="K37" s="426" t="str">
        <f>IF($B37=Pyr!$E$9,H37/(1+Pyr!$D$22)^C37,IF($B37&lt;Pyr!$E$9,"",IF($B37&gt;Pyr!$D$19+Pyr!$E$9,"",H37/(1+Pyr!$D$22)^C37)))</f>
        <v/>
      </c>
      <c r="L37" s="426" t="str">
        <f>IF($B37=Pyr!$E$9,I37/(1+Pyr!$D$22)^C37,IF($B37&lt;Pyr!$E$9,"",IF($B37&gt;Pyr!$D$19+Pyr!$E$9,"",I37/(1+Pyr!$D$22)^C37)))</f>
        <v/>
      </c>
      <c r="M37" s="429" t="str">
        <f>IF($B37=Pyr!$E$9,0,IF($B37&lt;Pyr!$E$9,"",IF($B37&gt;Pyr!$D$19+SMR!$E$9,"",Pyr!$D$33)))</f>
        <v/>
      </c>
      <c r="N37" s="430" t="str">
        <f>IF($B37=Pyr!$E$9,M37/(1+Pyr!$D$22)^C37,IF($B37&lt;Pyr!$E$9,"",IF($B37&gt;Pyr!$D$19+Pyr!$E$9,"",M37/(1+Pyr!$D$22)^C37)))</f>
        <v/>
      </c>
    </row>
    <row r="38" spans="2:14">
      <c r="B38" s="424">
        <v>2056</v>
      </c>
      <c r="C38" s="431" t="str">
        <f>IF($B38=Pyr!$E$9,B38-HOME!$A$9,IF($B38&lt;Pyr!$E$9,"",IF($B38&gt;Pyr!$D$19+Pyr!$E$9,"",B38-HOME!$A$9)))</f>
        <v/>
      </c>
      <c r="D38" s="426" t="str" cm="1">
        <f t="array" ref="D38">IF(B38=Pyr!$E$9,"",IF(B38&lt;Pyr!$E$9,"",IF(B38&gt;Pyr!$D$19+Pyr!$E$9,"",IF(INDEX(Tb_Fuel[],MATCH(B38,Tb_Fuel[Year],0),HLOOKUP(Pyr!$E$8&amp;" - Gas",'Fuel Data'!$BB$2:$BX$3,2,FALSE)+1)=0,INDEX(Tb_Fuel[],MATCH(B38,Tb_Fuel[Year],0),HLOOKUP(Pyr!$E$8&amp;" - Gas",'Fuel Data'!$BB$2:$BX$3,2,FALSE)+1),INDEX(Tb_Fuel[],MATCH(B38,Tb_Fuel[Year],0),HLOOKUP(Pyr!$E$8&amp;" - Gas",'Fuel Data'!$BB$2:$BX$3,2,FALSE)+1)))))</f>
        <v/>
      </c>
      <c r="E38" s="426" t="str">
        <f>IF(B38=Pyr!$E$9,Pyr!$D$16,IF(B38&lt;Pyr!$E$9,"",IF(B38&gt;Pyr!$D$19+Pyr!$E$9,"",0)))</f>
        <v/>
      </c>
      <c r="F38" s="426" t="str">
        <f>IF(B38=Pyr!$E$9,0,IF(B38&lt;Pyr!$E$9,"",IF(B38&gt;Pyr!$D$19+Pyr!$E$9,"",Pyr!$D$16*Pyr!$D$18)))</f>
        <v/>
      </c>
      <c r="G38" s="426" t="str">
        <f>IF($B38=Pyr!$E$9,0,IF($B38&lt;Pyr!$E$9,"",IF($B38&gt;Pyr!$D$19+Pyr!$E$9,"",IF(ISBLANK(Pyr!$C$24),D38*Pyr!$D$21*'General values'!$B$26*'CFA Pyrolysis'!M38,Pyr!$D$24*Pyr!$D$21*'General values'!$B$26*'CFA Pyrolysis'!M38))))</f>
        <v/>
      </c>
      <c r="H38" s="426" t="str">
        <f>IF($B38=Pyr!$E$9,0,IF($B38&lt;Pyr!$E$9,"",IF($B38&gt;Pyr!$D$19+Pyr!$E$9,"",IF(Pyr!$C$27="Yes",-Pyr!$D$28*Pyr!$D$33*Pyr!$D$26,0))))</f>
        <v/>
      </c>
      <c r="I38" s="426" t="str">
        <f>IF($B38=Pyr!$E$9,SUM(E38:H38),IF($B38&lt;Pyr!$E$9,"",IF($B38&gt;Pyr!$D$19+Pyr!$E$9,"",SUM(E38:H38))))</f>
        <v/>
      </c>
      <c r="J38" s="426" t="str">
        <f>IF($B38=Pyr!$E$9,G38/(1+Pyr!$D$22)^C38,IF($B38&lt;Pyr!$E$9,"",IF($B38&gt;Pyr!$D$19+Pyr!$E$9,"",G38/(1+Pyr!$D$22)^C38)))</f>
        <v/>
      </c>
      <c r="K38" s="426" t="str">
        <f>IF($B38=Pyr!$E$9,H38/(1+Pyr!$D$22)^C38,IF($B38&lt;Pyr!$E$9,"",IF($B38&gt;Pyr!$D$19+Pyr!$E$9,"",H38/(1+Pyr!$D$22)^C38)))</f>
        <v/>
      </c>
      <c r="L38" s="426" t="str">
        <f>IF($B38=Pyr!$E$9,I38/(1+Pyr!$D$22)^C38,IF($B38&lt;Pyr!$E$9,"",IF($B38&gt;Pyr!$D$19+Pyr!$E$9,"",I38/(1+Pyr!$D$22)^C38)))</f>
        <v/>
      </c>
      <c r="M38" s="429" t="str">
        <f>IF($B38=Pyr!$E$9,0,IF($B38&lt;Pyr!$E$9,"",IF($B38&gt;Pyr!$D$19+SMR!$E$9,"",Pyr!$D$33)))</f>
        <v/>
      </c>
      <c r="N38" s="430" t="str">
        <f>IF($B38=Pyr!$E$9,M38/(1+Pyr!$D$22)^C38,IF($B38&lt;Pyr!$E$9,"",IF($B38&gt;Pyr!$D$19+Pyr!$E$9,"",M38/(1+Pyr!$D$22)^C38)))</f>
        <v/>
      </c>
    </row>
    <row r="39" spans="2:14">
      <c r="B39" s="424">
        <v>2057</v>
      </c>
      <c r="C39" s="431" t="str">
        <f>IF($B39=Pyr!$E$9,B39-HOME!$A$9,IF($B39&lt;Pyr!$E$9,"",IF($B39&gt;Pyr!$D$19+Pyr!$E$9,"",B39-HOME!$A$9)))</f>
        <v/>
      </c>
      <c r="D39" s="426" t="str" cm="1">
        <f t="array" ref="D39">IF(B39=Pyr!$E$9,"",IF(B39&lt;Pyr!$E$9,"",IF(B39&gt;Pyr!$D$19+Pyr!$E$9,"",IF(INDEX(Tb_Fuel[],MATCH(B39,Tb_Fuel[Year],0),HLOOKUP(Pyr!$E$8&amp;" - Gas",'Fuel Data'!$BB$2:$BX$3,2,FALSE)+1)=0,INDEX(Tb_Fuel[],MATCH(B39,Tb_Fuel[Year],0),HLOOKUP(Pyr!$E$8&amp;" - Gas",'Fuel Data'!$BB$2:$BX$3,2,FALSE)+1),INDEX(Tb_Fuel[],MATCH(B39,Tb_Fuel[Year],0),HLOOKUP(Pyr!$E$8&amp;" - Gas",'Fuel Data'!$BB$2:$BX$3,2,FALSE)+1)))))</f>
        <v/>
      </c>
      <c r="E39" s="426" t="str">
        <f>IF(B39=Pyr!$E$9,Pyr!$D$16,IF(B39&lt;Pyr!$E$9,"",IF(B39&gt;Pyr!$D$19+Pyr!$E$9,"",0)))</f>
        <v/>
      </c>
      <c r="F39" s="426" t="str">
        <f>IF(B39=Pyr!$E$9,0,IF(B39&lt;Pyr!$E$9,"",IF(B39&gt;Pyr!$D$19+Pyr!$E$9,"",Pyr!$D$16*Pyr!$D$18)))</f>
        <v/>
      </c>
      <c r="G39" s="426" t="str">
        <f>IF($B39=Pyr!$E$9,0,IF($B39&lt;Pyr!$E$9,"",IF($B39&gt;Pyr!$D$19+Pyr!$E$9,"",IF(ISBLANK(Pyr!$C$24),D39*Pyr!$D$21*'General values'!$B$26*'CFA Pyrolysis'!M39,Pyr!$D$24*Pyr!$D$21*'General values'!$B$26*'CFA Pyrolysis'!M39))))</f>
        <v/>
      </c>
      <c r="H39" s="426" t="str">
        <f>IF($B39=Pyr!$E$9,0,IF($B39&lt;Pyr!$E$9,"",IF($B39&gt;Pyr!$D$19+Pyr!$E$9,"",IF(Pyr!$C$27="Yes",-Pyr!$D$28*Pyr!$D$33*Pyr!$D$26,0))))</f>
        <v/>
      </c>
      <c r="I39" s="426" t="str">
        <f>IF($B39=Pyr!$E$9,SUM(E39:H39),IF($B39&lt;Pyr!$E$9,"",IF($B39&gt;Pyr!$D$19+Pyr!$E$9,"",SUM(E39:H39))))</f>
        <v/>
      </c>
      <c r="J39" s="426" t="str">
        <f>IF($B39=Pyr!$E$9,G39/(1+Pyr!$D$22)^C39,IF($B39&lt;Pyr!$E$9,"",IF($B39&gt;Pyr!$D$19+Pyr!$E$9,"",G39/(1+Pyr!$D$22)^C39)))</f>
        <v/>
      </c>
      <c r="K39" s="426" t="str">
        <f>IF($B39=Pyr!$E$9,H39/(1+Pyr!$D$22)^C39,IF($B39&lt;Pyr!$E$9,"",IF($B39&gt;Pyr!$D$19+Pyr!$E$9,"",H39/(1+Pyr!$D$22)^C39)))</f>
        <v/>
      </c>
      <c r="L39" s="426" t="str">
        <f>IF($B39=Pyr!$E$9,I39/(1+Pyr!$D$22)^C39,IF($B39&lt;Pyr!$E$9,"",IF($B39&gt;Pyr!$D$19+Pyr!$E$9,"",I39/(1+Pyr!$D$22)^C39)))</f>
        <v/>
      </c>
      <c r="M39" s="429" t="str">
        <f>IF($B39=Pyr!$E$9,0,IF($B39&lt;Pyr!$E$9,"",IF($B39&gt;Pyr!$D$19+SMR!$E$9,"",Pyr!$D$33)))</f>
        <v/>
      </c>
      <c r="N39" s="430" t="str">
        <f>IF($B39=Pyr!$E$9,M39/(1+Pyr!$D$22)^C39,IF($B39&lt;Pyr!$E$9,"",IF($B39&gt;Pyr!$D$19+Pyr!$E$9,"",M39/(1+Pyr!$D$22)^C39)))</f>
        <v/>
      </c>
    </row>
    <row r="40" spans="2:14">
      <c r="B40" s="424">
        <v>2058</v>
      </c>
      <c r="C40" s="431" t="str">
        <f>IF($B40=Pyr!$E$9,B40-HOME!$A$9,IF($B40&lt;Pyr!$E$9,"",IF($B40&gt;Pyr!$D$19+Pyr!$E$9,"",B40-HOME!$A$9)))</f>
        <v/>
      </c>
      <c r="D40" s="426" t="str" cm="1">
        <f t="array" ref="D40">IF(B40=Pyr!$E$9,"",IF(B40&lt;Pyr!$E$9,"",IF(B40&gt;Pyr!$D$19+Pyr!$E$9,"",IF(INDEX(Tb_Fuel[],MATCH(B40,Tb_Fuel[Year],0),HLOOKUP(Pyr!$E$8&amp;" - Gas",'Fuel Data'!$BB$2:$BX$3,2,FALSE)+1)=0,INDEX(Tb_Fuel[],MATCH(B40,Tb_Fuel[Year],0),HLOOKUP(Pyr!$E$8&amp;" - Gas",'Fuel Data'!$BB$2:$BX$3,2,FALSE)+1),INDEX(Tb_Fuel[],MATCH(B40,Tb_Fuel[Year],0),HLOOKUP(Pyr!$E$8&amp;" - Gas",'Fuel Data'!$BB$2:$BX$3,2,FALSE)+1)))))</f>
        <v/>
      </c>
      <c r="E40" s="426" t="str">
        <f>IF(B40=Pyr!$E$9,Pyr!$D$16,IF(B40&lt;Pyr!$E$9,"",IF(B40&gt;Pyr!$D$19+Pyr!$E$9,"",0)))</f>
        <v/>
      </c>
      <c r="F40" s="426" t="str">
        <f>IF(B40=Pyr!$E$9,0,IF(B40&lt;Pyr!$E$9,"",IF(B40&gt;Pyr!$D$19+Pyr!$E$9,"",Pyr!$D$16*Pyr!$D$18)))</f>
        <v/>
      </c>
      <c r="G40" s="426" t="str">
        <f>IF($B40=Pyr!$E$9,0,IF($B40&lt;Pyr!$E$9,"",IF($B40&gt;Pyr!$D$19+Pyr!$E$9,"",IF(ISBLANK(Pyr!$C$24),D40*Pyr!$D$21*'General values'!$B$26*'CFA Pyrolysis'!M40,Pyr!$D$24*Pyr!$D$21*'General values'!$B$26*'CFA Pyrolysis'!M40))))</f>
        <v/>
      </c>
      <c r="H40" s="426" t="str">
        <f>IF($B40=Pyr!$E$9,0,IF($B40&lt;Pyr!$E$9,"",IF($B40&gt;Pyr!$D$19+Pyr!$E$9,"",IF(Pyr!$C$27="Yes",-Pyr!$D$28*Pyr!$D$33*Pyr!$D$26,0))))</f>
        <v/>
      </c>
      <c r="I40" s="426" t="str">
        <f>IF($B40=Pyr!$E$9,SUM(E40:H40),IF($B40&lt;Pyr!$E$9,"",IF($B40&gt;Pyr!$D$19+Pyr!$E$9,"",SUM(E40:H40))))</f>
        <v/>
      </c>
      <c r="J40" s="426" t="str">
        <f>IF($B40=Pyr!$E$9,G40/(1+Pyr!$D$22)^C40,IF($B40&lt;Pyr!$E$9,"",IF($B40&gt;Pyr!$D$19+Pyr!$E$9,"",G40/(1+Pyr!$D$22)^C40)))</f>
        <v/>
      </c>
      <c r="K40" s="426" t="str">
        <f>IF($B40=Pyr!$E$9,H40/(1+Pyr!$D$22)^C40,IF($B40&lt;Pyr!$E$9,"",IF($B40&gt;Pyr!$D$19+Pyr!$E$9,"",H40/(1+Pyr!$D$22)^C40)))</f>
        <v/>
      </c>
      <c r="L40" s="426" t="str">
        <f>IF($B40=Pyr!$E$9,I40/(1+Pyr!$D$22)^C40,IF($B40&lt;Pyr!$E$9,"",IF($B40&gt;Pyr!$D$19+Pyr!$E$9,"",I40/(1+Pyr!$D$22)^C40)))</f>
        <v/>
      </c>
      <c r="M40" s="429" t="str">
        <f>IF($B40=Pyr!$E$9,0,IF($B40&lt;Pyr!$E$9,"",IF($B40&gt;Pyr!$D$19+SMR!$E$9,"",Pyr!$D$33)))</f>
        <v/>
      </c>
      <c r="N40" s="430" t="str">
        <f>IF($B40=Pyr!$E$9,M40/(1+Pyr!$D$22)^C40,IF($B40&lt;Pyr!$E$9,"",IF($B40&gt;Pyr!$D$19+Pyr!$E$9,"",M40/(1+Pyr!$D$22)^C40)))</f>
        <v/>
      </c>
    </row>
    <row r="41" spans="2:14">
      <c r="B41" s="424">
        <v>2059</v>
      </c>
      <c r="C41" s="431" t="str">
        <f>IF($B41=Pyr!$E$9,B41-HOME!$A$9,IF($B41&lt;Pyr!$E$9,"",IF($B41&gt;Pyr!$D$19+Pyr!$E$9,"",B41-HOME!$A$9)))</f>
        <v/>
      </c>
      <c r="D41" s="426" t="str" cm="1">
        <f t="array" ref="D41">IF(B41=Pyr!$E$9,"",IF(B41&lt;Pyr!$E$9,"",IF(B41&gt;Pyr!$D$19+Pyr!$E$9,"",IF(INDEX(Tb_Fuel[],MATCH(B41,Tb_Fuel[Year],0),HLOOKUP(Pyr!$E$8&amp;" - Gas",'Fuel Data'!$BB$2:$BX$3,2,FALSE)+1)=0,INDEX(Tb_Fuel[],MATCH(B41,Tb_Fuel[Year],0),HLOOKUP(Pyr!$E$8&amp;" - Gas",'Fuel Data'!$BB$2:$BX$3,2,FALSE)+1),INDEX(Tb_Fuel[],MATCH(B41,Tb_Fuel[Year],0),HLOOKUP(Pyr!$E$8&amp;" - Gas",'Fuel Data'!$BB$2:$BX$3,2,FALSE)+1)))))</f>
        <v/>
      </c>
      <c r="E41" s="426" t="str">
        <f>IF(B41=Pyr!$E$9,Pyr!$D$16,IF(B41&lt;Pyr!$E$9,"",IF(B41&gt;Pyr!$D$19+Pyr!$E$9,"",0)))</f>
        <v/>
      </c>
      <c r="F41" s="426" t="str">
        <f>IF(B41=Pyr!$E$9,0,IF(B41&lt;Pyr!$E$9,"",IF(B41&gt;Pyr!$D$19+Pyr!$E$9,"",Pyr!$D$16*Pyr!$D$18)))</f>
        <v/>
      </c>
      <c r="G41" s="426" t="str">
        <f>IF($B41=Pyr!$E$9,0,IF($B41&lt;Pyr!$E$9,"",IF($B41&gt;Pyr!$D$19+Pyr!$E$9,"",IF(ISBLANK(Pyr!$C$24),D41*Pyr!$D$21*'General values'!$B$26*'CFA Pyrolysis'!M41,Pyr!$D$24*Pyr!$D$21*'General values'!$B$26*'CFA Pyrolysis'!M41))))</f>
        <v/>
      </c>
      <c r="H41" s="426" t="str">
        <f>IF($B41=Pyr!$E$9,0,IF($B41&lt;Pyr!$E$9,"",IF($B41&gt;Pyr!$D$19+Pyr!$E$9,"",IF(Pyr!$C$27="Yes",-Pyr!$D$28*Pyr!$D$33*Pyr!$D$26,0))))</f>
        <v/>
      </c>
      <c r="I41" s="426" t="str">
        <f>IF($B41=Pyr!$E$9,SUM(E41:H41),IF($B41&lt;Pyr!$E$9,"",IF($B41&gt;Pyr!$D$19+Pyr!$E$9,"",SUM(E41:H41))))</f>
        <v/>
      </c>
      <c r="J41" s="426" t="str">
        <f>IF($B41=Pyr!$E$9,G41/(1+Pyr!$D$22)^C41,IF($B41&lt;Pyr!$E$9,"",IF($B41&gt;Pyr!$D$19+Pyr!$E$9,"",G41/(1+Pyr!$D$22)^C41)))</f>
        <v/>
      </c>
      <c r="K41" s="426" t="str">
        <f>IF($B41=Pyr!$E$9,H41/(1+Pyr!$D$22)^C41,IF($B41&lt;Pyr!$E$9,"",IF($B41&gt;Pyr!$D$19+Pyr!$E$9,"",H41/(1+Pyr!$D$22)^C41)))</f>
        <v/>
      </c>
      <c r="L41" s="426" t="str">
        <f>IF($B41=Pyr!$E$9,I41/(1+Pyr!$D$22)^C41,IF($B41&lt;Pyr!$E$9,"",IF($B41&gt;Pyr!$D$19+Pyr!$E$9,"",I41/(1+Pyr!$D$22)^C41)))</f>
        <v/>
      </c>
      <c r="M41" s="429" t="str">
        <f>IF($B41=Pyr!$E$9,0,IF($B41&lt;Pyr!$E$9,"",IF($B41&gt;Pyr!$D$19+SMR!$E$9,"",Pyr!$D$33)))</f>
        <v/>
      </c>
      <c r="N41" s="430" t="str">
        <f>IF($B41=Pyr!$E$9,M41/(1+Pyr!$D$22)^C41,IF($B41&lt;Pyr!$E$9,"",IF($B41&gt;Pyr!$D$19+Pyr!$E$9,"",M41/(1+Pyr!$D$22)^C41)))</f>
        <v/>
      </c>
    </row>
    <row r="42" spans="2:14" ht="17" thickBot="1">
      <c r="B42" s="432">
        <v>2060</v>
      </c>
      <c r="C42" s="433" t="str">
        <f>IF($B42=Pyr!$E$9,B42-HOME!$A$9,IF($B42&lt;Pyr!$E$9,"",IF($B42&gt;Pyr!$D$19+Pyr!$E$9,"",B42-HOME!$A$9)))</f>
        <v/>
      </c>
      <c r="D42" s="434" t="str" cm="1">
        <f t="array" ref="D42">IF(B42=Pyr!$E$9,"",IF(B42&lt;Pyr!$E$9,"",IF(B42&gt;Pyr!$D$19+Pyr!$E$9,"",IF(INDEX(Tb_Fuel[],MATCH(B42,Tb_Fuel[Year],0),HLOOKUP(Pyr!$E$8&amp;" - Gas",'Fuel Data'!$BB$2:$BX$3,2,FALSE)+1)=0,INDEX(Tb_Fuel[],MATCH(B42,Tb_Fuel[Year],0),HLOOKUP(Pyr!$E$8&amp;" - Gas",'Fuel Data'!$BB$2:$BX$3,2,FALSE)+1),INDEX(Tb_Fuel[],MATCH(B42,Tb_Fuel[Year],0),HLOOKUP(Pyr!$E$8&amp;" - Gas",'Fuel Data'!$BB$2:$BX$3,2,FALSE)+1)))))</f>
        <v/>
      </c>
      <c r="E42" s="434" t="str">
        <f>IF(B42=Pyr!$E$9,Pyr!$D$16,IF(B42&lt;Pyr!$E$9,"",IF(B42&gt;Pyr!$D$19+Pyr!$E$9,"",0)))</f>
        <v/>
      </c>
      <c r="F42" s="434" t="str">
        <f>IF(B42=Pyr!$E$9,0,IF(B42&lt;Pyr!$E$9,"",IF(B42&gt;Pyr!$D$19+Pyr!$E$9,"",Pyr!$D$16*Pyr!$D$18)))</f>
        <v/>
      </c>
      <c r="G42" s="434" t="str">
        <f>IF($B42=Pyr!$E$9,0,IF($B42&lt;Pyr!$E$9,"",IF($B42&gt;Pyr!$D$19+Pyr!$E$9,"",IF(ISBLANK(Pyr!$C$24),D42*Pyr!$D$21*'General values'!$B$26*'CFA Pyrolysis'!M42,Pyr!$D$24*Pyr!$D$21*'General values'!$B$26*'CFA Pyrolysis'!M42))))</f>
        <v/>
      </c>
      <c r="H42" s="434" t="str">
        <f>IF($B42=Pyr!$E$9,0,IF($B42&lt;Pyr!$E$9,"",IF($B42&gt;Pyr!$D$19+Pyr!$E$9,"",IF(Pyr!$C$27="Yes",-Pyr!$D$28*Pyr!$D$33*Pyr!$D$26,0))))</f>
        <v/>
      </c>
      <c r="I42" s="434" t="str">
        <f>IF($B42=Pyr!$E$9,SUM(E42:H42),IF($B42&lt;Pyr!$E$9,"",IF($B42&gt;Pyr!$D$19+Pyr!$E$9,"",SUM(E42:H42))))</f>
        <v/>
      </c>
      <c r="J42" s="434" t="str">
        <f>IF($B42=Pyr!$E$9,G42/(1+Pyr!$D$22)^C42,IF($B42&lt;Pyr!$E$9,"",IF($B42&gt;Pyr!$D$19+Pyr!$E$9,"",G42/(1+Pyr!$D$22)^C42)))</f>
        <v/>
      </c>
      <c r="K42" s="434" t="str">
        <f>IF($B42=Pyr!$E$9,H42/(1+Pyr!$D$22)^C42,IF($B42&lt;Pyr!$E$9,"",IF($B42&gt;Pyr!$D$19+Pyr!$E$9,"",H42/(1+Pyr!$D$22)^C42)))</f>
        <v/>
      </c>
      <c r="L42" s="434" t="str">
        <f>IF($B42=Pyr!$E$9,I42/(1+Pyr!$D$22)^C42,IF($B42&lt;Pyr!$E$9,"",IF($B42&gt;Pyr!$D$19+Pyr!$E$9,"",I42/(1+Pyr!$D$22)^C42)))</f>
        <v/>
      </c>
      <c r="M42" s="437" t="str">
        <f>IF($B42=Pyr!$E$9,0,IF($B42&lt;Pyr!$E$9,"",IF($B42&gt;Pyr!$D$19+SMR!$E$9,"",Pyr!$D$33)))</f>
        <v/>
      </c>
      <c r="N42" s="438" t="str">
        <f>IF($B42=Pyr!$E$9,M42/(1+Pyr!$D$22)^C42,IF($B42&lt;Pyr!$E$9,"",IF($B42&gt;Pyr!$D$19+Pyr!$E$9,"",M42/(1+Pyr!$D$22)^C42)))</f>
        <v/>
      </c>
    </row>
  </sheetData>
  <sheetProtection algorithmName="SHA-512" hashValue="nsN4MLuEVur/Hmw7e0q8BCeTmaaePZYBZFNMVUO0AM0NMOyj//T8RAMLRqiH1r8zNxAUMto/eMaGo0dcRgt5KA==" saltValue="ZCHgwaC66f5o8SLdqLH/0Q==" spinCount="100000" sheet="1" objects="1" scenarios="1"/>
  <hyperlinks>
    <hyperlink ref="A1" location="HOME!A1" display="HOME" xr:uid="{70FD4CA4-DAD2-E342-B089-59FC300629D9}"/>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D98EF-8E84-6340-94DF-760AD28E104C}">
  <sheetPr>
    <tabColor theme="4" tint="0.39997558519241921"/>
  </sheetPr>
  <dimension ref="A1:AY32"/>
  <sheetViews>
    <sheetView topLeftCell="K1" zoomScale="83" zoomScaleNormal="60" workbookViewId="0">
      <selection activeCell="Y32" sqref="Y32"/>
    </sheetView>
  </sheetViews>
  <sheetFormatPr baseColWidth="10" defaultColWidth="10.83203125" defaultRowHeight="16"/>
  <cols>
    <col min="1" max="1" width="12" style="2" customWidth="1"/>
    <col min="2" max="2" width="16.83203125" style="2" customWidth="1"/>
    <col min="3" max="6" width="10.83203125" style="2"/>
    <col min="7" max="7" width="15.83203125" style="2" bestFit="1" customWidth="1"/>
    <col min="8" max="8" width="16.83203125" style="2" customWidth="1"/>
    <col min="9" max="11" width="10.83203125" style="2"/>
    <col min="12" max="12" width="17.83203125" style="2" customWidth="1"/>
    <col min="13" max="13" width="10.83203125" style="2"/>
    <col min="14" max="14" width="15.5" style="2" customWidth="1"/>
    <col min="15" max="18" width="10.83203125" style="2"/>
    <col min="19" max="19" width="21.83203125" style="2" bestFit="1" customWidth="1"/>
    <col min="20" max="20" width="16.5" style="2" customWidth="1"/>
    <col min="21" max="24" width="10.83203125" style="2"/>
    <col min="25" max="25" width="12" style="2" customWidth="1"/>
    <col min="26" max="26" width="16.5" style="2" customWidth="1"/>
    <col min="27" max="30" width="10.83203125" style="2"/>
    <col min="31" max="31" width="13" style="2" bestFit="1" customWidth="1"/>
    <col min="32" max="32" width="16.83203125" style="2" customWidth="1"/>
    <col min="33" max="33" width="11" style="2" customWidth="1"/>
    <col min="34" max="16384" width="10.83203125" style="2"/>
  </cols>
  <sheetData>
    <row r="1" spans="1:51" ht="16" customHeight="1">
      <c r="A1" s="1127" t="s">
        <v>925</v>
      </c>
      <c r="B1" s="1127"/>
      <c r="C1" s="1127"/>
      <c r="D1" s="1127"/>
      <c r="G1" s="1130" t="s">
        <v>926</v>
      </c>
      <c r="H1" s="1130"/>
      <c r="I1" s="1131" t="s">
        <v>927</v>
      </c>
      <c r="J1" s="1132"/>
      <c r="K1" s="1132"/>
      <c r="L1" s="1132"/>
      <c r="M1" s="1132"/>
      <c r="N1" s="1132"/>
      <c r="O1" s="1132"/>
      <c r="P1" s="1133"/>
      <c r="Q1" s="235"/>
      <c r="R1" s="235"/>
      <c r="S1" s="1130" t="s">
        <v>928</v>
      </c>
      <c r="T1" s="1130"/>
      <c r="U1" s="1134" t="s">
        <v>929</v>
      </c>
      <c r="V1" s="1135"/>
      <c r="Y1" s="1130" t="s">
        <v>930</v>
      </c>
      <c r="Z1" s="1130"/>
      <c r="AA1" s="1134" t="s">
        <v>23</v>
      </c>
      <c r="AB1" s="1135"/>
      <c r="AE1" s="1130" t="s">
        <v>931</v>
      </c>
      <c r="AF1" s="1130"/>
      <c r="AG1" s="1140" t="s">
        <v>932</v>
      </c>
      <c r="AH1" s="1141"/>
      <c r="AI1" s="1141"/>
      <c r="AJ1" s="1141"/>
      <c r="AK1" s="1141"/>
      <c r="AL1" s="1141"/>
      <c r="AM1" s="1141"/>
      <c r="AN1" s="1141"/>
      <c r="AO1" s="1141"/>
      <c r="AP1" s="1141"/>
      <c r="AQ1" s="1141"/>
      <c r="AR1" s="1141"/>
      <c r="AS1" s="1141"/>
      <c r="AT1" s="1141"/>
      <c r="AU1" s="1141"/>
      <c r="AV1" s="1141"/>
      <c r="AW1" s="1141"/>
      <c r="AX1" s="1142"/>
    </row>
    <row r="2" spans="1:51">
      <c r="A2" s="1127"/>
      <c r="B2" s="1127"/>
      <c r="C2" s="1127"/>
      <c r="D2" s="1127"/>
      <c r="G2" s="1130"/>
      <c r="H2" s="1130"/>
      <c r="I2" s="1126" t="s">
        <v>933</v>
      </c>
      <c r="J2" s="1126"/>
      <c r="K2" s="1126" t="s">
        <v>934</v>
      </c>
      <c r="L2" s="1126"/>
      <c r="M2" s="1126" t="s">
        <v>935</v>
      </c>
      <c r="N2" s="1126"/>
      <c r="O2" s="1126" t="s">
        <v>936</v>
      </c>
      <c r="P2" s="1126"/>
      <c r="Q2" s="171"/>
      <c r="R2" s="171"/>
      <c r="S2" s="1130"/>
      <c r="T2" s="1130"/>
      <c r="U2" s="1136"/>
      <c r="V2" s="1137"/>
      <c r="Y2" s="1130"/>
      <c r="Z2" s="1130"/>
      <c r="AA2" s="1136"/>
      <c r="AB2" s="1137"/>
      <c r="AE2" s="1130"/>
      <c r="AF2" s="1130"/>
      <c r="AG2" s="1126" t="str">
        <f>Tb_CSv[[#Headers],[Germany]]</f>
        <v>Germany</v>
      </c>
      <c r="AH2" s="1126"/>
      <c r="AI2" s="1128" t="str">
        <f>Tb_CSv[[#Headers],[France]]</f>
        <v>France</v>
      </c>
      <c r="AJ2" s="1129"/>
      <c r="AK2" s="1128" t="str">
        <f>Tb_CSv[[#Headers],[Spain]]</f>
        <v>Spain</v>
      </c>
      <c r="AL2" s="1129"/>
      <c r="AM2" s="1126" t="str">
        <f>Tb_CSv[[#Headers],[Chile]]</f>
        <v>Chile</v>
      </c>
      <c r="AN2" s="1126"/>
      <c r="AO2" s="1126" t="str">
        <f>Tb_CSv[[#Headers],[Algeria]]</f>
        <v>Algeria</v>
      </c>
      <c r="AP2" s="1126"/>
      <c r="AQ2" s="1126" t="str">
        <f>Tb_CSv[[#Headers],[Australia]]</f>
        <v>Australia</v>
      </c>
      <c r="AR2" s="1126"/>
      <c r="AS2" s="1126" t="str">
        <f>Tb_CSv[[#Headers],[Saudi Arabia]]</f>
        <v>Saudi Arabia</v>
      </c>
      <c r="AT2" s="1126"/>
      <c r="AU2" s="1126" t="str">
        <f>Tb_CSv[[#Headers],[Norway]]</f>
        <v>Norway</v>
      </c>
      <c r="AV2" s="1126"/>
      <c r="AW2" s="1126" t="str">
        <f>Tb_CSv[[#Headers],[Qatar]]</f>
        <v>Qatar</v>
      </c>
      <c r="AX2" s="1126"/>
      <c r="AY2" s="2" t="s">
        <v>280</v>
      </c>
    </row>
    <row r="3" spans="1:51">
      <c r="A3" s="1127"/>
      <c r="B3" s="1127"/>
      <c r="C3" s="1127"/>
      <c r="D3" s="1127"/>
      <c r="G3" s="1130"/>
      <c r="H3" s="1130"/>
      <c r="I3" s="547">
        <v>1</v>
      </c>
      <c r="J3" s="547">
        <v>2</v>
      </c>
      <c r="K3" s="547">
        <v>3</v>
      </c>
      <c r="L3" s="547">
        <v>4</v>
      </c>
      <c r="M3" s="547">
        <v>5</v>
      </c>
      <c r="N3" s="547">
        <v>6</v>
      </c>
      <c r="O3" s="547">
        <v>7</v>
      </c>
      <c r="P3" s="547">
        <v>8</v>
      </c>
      <c r="S3" s="1130"/>
      <c r="T3" s="1130"/>
      <c r="U3" s="1138"/>
      <c r="V3" s="1139"/>
      <c r="Y3" s="1130"/>
      <c r="Z3" s="1130"/>
      <c r="AA3" s="1138"/>
      <c r="AB3" s="1139"/>
      <c r="AE3" s="1130"/>
      <c r="AF3" s="1130"/>
      <c r="AG3" s="34">
        <v>1</v>
      </c>
      <c r="AH3" s="34">
        <v>2</v>
      </c>
      <c r="AI3" s="34">
        <v>3</v>
      </c>
      <c r="AJ3" s="34">
        <v>4</v>
      </c>
      <c r="AK3" s="34">
        <v>5</v>
      </c>
      <c r="AL3" s="34">
        <v>6</v>
      </c>
      <c r="AM3" s="34">
        <v>7</v>
      </c>
      <c r="AN3" s="34">
        <v>8</v>
      </c>
      <c r="AO3" s="34">
        <v>9</v>
      </c>
      <c r="AP3" s="34">
        <v>10</v>
      </c>
      <c r="AQ3" s="34">
        <v>11</v>
      </c>
      <c r="AR3" s="34">
        <v>12</v>
      </c>
      <c r="AS3" s="34">
        <v>13</v>
      </c>
      <c r="AT3" s="34">
        <v>14</v>
      </c>
      <c r="AU3" s="34">
        <v>15</v>
      </c>
      <c r="AV3" s="34">
        <v>16</v>
      </c>
      <c r="AW3" s="34">
        <v>17</v>
      </c>
      <c r="AX3" s="34">
        <v>18</v>
      </c>
      <c r="AY3" s="2" t="s">
        <v>280</v>
      </c>
    </row>
    <row r="4" spans="1:51">
      <c r="A4" s="1" t="s">
        <v>154</v>
      </c>
      <c r="B4" s="1" t="s">
        <v>155</v>
      </c>
      <c r="C4" s="1" t="s">
        <v>937</v>
      </c>
      <c r="D4" s="1" t="s">
        <v>156</v>
      </c>
      <c r="G4" s="1" t="s">
        <v>154</v>
      </c>
      <c r="H4" s="1" t="s">
        <v>155</v>
      </c>
      <c r="I4" s="1" t="s">
        <v>933</v>
      </c>
      <c r="J4" s="1" t="s">
        <v>158</v>
      </c>
      <c r="K4" s="1" t="s">
        <v>934</v>
      </c>
      <c r="L4" s="1" t="s">
        <v>163</v>
      </c>
      <c r="M4" s="1" t="s">
        <v>935</v>
      </c>
      <c r="N4" s="1" t="s">
        <v>164</v>
      </c>
      <c r="O4" s="1" t="s">
        <v>936</v>
      </c>
      <c r="P4" s="1" t="s">
        <v>166</v>
      </c>
      <c r="S4" s="48" t="s">
        <v>154</v>
      </c>
      <c r="T4" s="48" t="s">
        <v>155</v>
      </c>
      <c r="U4" s="48" t="s">
        <v>937</v>
      </c>
      <c r="V4" s="48" t="s">
        <v>158</v>
      </c>
      <c r="Y4" s="48" t="s">
        <v>154</v>
      </c>
      <c r="Z4" s="48" t="s">
        <v>155</v>
      </c>
      <c r="AA4" s="48" t="s">
        <v>937</v>
      </c>
      <c r="AB4" s="48" t="s">
        <v>158</v>
      </c>
      <c r="AE4" s="1" t="s">
        <v>154</v>
      </c>
      <c r="AF4" s="1" t="s">
        <v>155</v>
      </c>
      <c r="AG4" s="1" t="s">
        <v>21</v>
      </c>
      <c r="AH4" s="1" t="s">
        <v>158</v>
      </c>
      <c r="AI4" s="1" t="s">
        <v>152</v>
      </c>
      <c r="AJ4" s="1" t="s">
        <v>163</v>
      </c>
      <c r="AK4" s="1" t="s">
        <v>153</v>
      </c>
      <c r="AL4" s="1" t="s">
        <v>164</v>
      </c>
      <c r="AM4" s="1" t="s">
        <v>672</v>
      </c>
      <c r="AN4" s="1" t="s">
        <v>166</v>
      </c>
      <c r="AO4" s="1" t="s">
        <v>677</v>
      </c>
      <c r="AP4" s="52" t="s">
        <v>170</v>
      </c>
      <c r="AQ4" s="48" t="s">
        <v>675</v>
      </c>
      <c r="AR4" s="53" t="s">
        <v>172</v>
      </c>
      <c r="AS4" s="48" t="s">
        <v>678</v>
      </c>
      <c r="AT4" s="48" t="s">
        <v>176</v>
      </c>
      <c r="AU4" s="48" t="s">
        <v>680</v>
      </c>
      <c r="AV4" s="48" t="s">
        <v>178</v>
      </c>
      <c r="AW4" s="48" t="s">
        <v>22</v>
      </c>
      <c r="AX4" s="48" t="s">
        <v>180</v>
      </c>
      <c r="AY4" s="2" t="s">
        <v>280</v>
      </c>
    </row>
    <row r="5" spans="1:51" ht="18">
      <c r="A5" s="540" t="s">
        <v>938</v>
      </c>
      <c r="B5" s="541" t="s">
        <v>939</v>
      </c>
      <c r="C5" s="541">
        <v>9</v>
      </c>
      <c r="D5" s="140" t="s">
        <v>940</v>
      </c>
      <c r="E5" s="2" t="s">
        <v>280</v>
      </c>
      <c r="G5" s="540" t="s">
        <v>754</v>
      </c>
      <c r="H5" s="541" t="s">
        <v>941</v>
      </c>
      <c r="I5" s="542">
        <f>900/'General values'!N19</f>
        <v>925.59160305343516</v>
      </c>
      <c r="J5" s="51" t="s">
        <v>942</v>
      </c>
      <c r="K5" s="542">
        <f>1450/'General values'!N19</f>
        <v>1491.2309160305344</v>
      </c>
      <c r="L5" s="51" t="s">
        <v>942</v>
      </c>
      <c r="M5" s="542">
        <f>2300/'General values'!N19</f>
        <v>2365.4007633587789</v>
      </c>
      <c r="N5" s="51" t="s">
        <v>942</v>
      </c>
      <c r="O5" s="33" t="s">
        <v>280</v>
      </c>
      <c r="P5" s="227"/>
      <c r="S5" s="540" t="s">
        <v>943</v>
      </c>
      <c r="T5" s="541" t="s">
        <v>941</v>
      </c>
      <c r="U5" s="550">
        <f>569.8/'General values'!N16</f>
        <v>612.72118128304896</v>
      </c>
      <c r="V5" s="140" t="s">
        <v>944</v>
      </c>
      <c r="W5" s="2" t="s">
        <v>280</v>
      </c>
      <c r="Y5" s="540" t="s">
        <v>945</v>
      </c>
      <c r="Z5" s="541" t="s">
        <v>941</v>
      </c>
      <c r="AA5" s="541">
        <v>708</v>
      </c>
      <c r="AB5" s="229" t="s">
        <v>946</v>
      </c>
      <c r="AC5" s="2" t="s">
        <v>280</v>
      </c>
      <c r="AE5" s="50" t="s">
        <v>947</v>
      </c>
      <c r="AF5" s="33" t="s">
        <v>160</v>
      </c>
      <c r="AG5" s="231">
        <v>0.1021</v>
      </c>
      <c r="AH5" s="51" t="s">
        <v>948</v>
      </c>
      <c r="AI5" s="231">
        <v>0.13370000000000001</v>
      </c>
      <c r="AJ5" s="51" t="s">
        <v>948</v>
      </c>
      <c r="AK5" s="231">
        <v>0.17510000000000001</v>
      </c>
      <c r="AL5" s="51" t="s">
        <v>948</v>
      </c>
      <c r="AM5" s="232">
        <v>0.252</v>
      </c>
      <c r="AN5" s="51" t="s">
        <v>949</v>
      </c>
      <c r="AO5" s="232">
        <v>0.21</v>
      </c>
      <c r="AP5" s="51" t="s">
        <v>950</v>
      </c>
      <c r="AQ5" s="231">
        <v>0.21</v>
      </c>
      <c r="AR5" s="51" t="s">
        <v>949</v>
      </c>
      <c r="AS5" s="232">
        <v>0.222</v>
      </c>
      <c r="AT5" s="51" t="s">
        <v>949</v>
      </c>
      <c r="AU5" s="33" t="s">
        <v>280</v>
      </c>
      <c r="AV5" s="33"/>
      <c r="AW5" s="33"/>
      <c r="AX5" s="227"/>
      <c r="AY5" s="2" t="s">
        <v>280</v>
      </c>
    </row>
    <row r="6" spans="1:51" ht="18">
      <c r="A6" s="527" t="s">
        <v>951</v>
      </c>
      <c r="B6" s="364" t="s">
        <v>952</v>
      </c>
      <c r="C6" s="364">
        <v>8</v>
      </c>
      <c r="D6" s="43" t="s">
        <v>953</v>
      </c>
      <c r="E6" s="2" t="s">
        <v>280</v>
      </c>
      <c r="G6" s="527" t="s">
        <v>768</v>
      </c>
      <c r="H6" s="364" t="s">
        <v>160</v>
      </c>
      <c r="I6" s="543">
        <v>0.5</v>
      </c>
      <c r="J6" s="41" t="s">
        <v>942</v>
      </c>
      <c r="K6" s="543">
        <v>0.6</v>
      </c>
      <c r="L6" s="41" t="s">
        <v>942</v>
      </c>
      <c r="M6" s="543">
        <v>0.3</v>
      </c>
      <c r="N6" s="41" t="s">
        <v>942</v>
      </c>
      <c r="O6" t="s">
        <v>280</v>
      </c>
      <c r="P6" s="37"/>
      <c r="S6" s="527" t="s">
        <v>954</v>
      </c>
      <c r="T6" s="364" t="s">
        <v>941</v>
      </c>
      <c r="U6" s="548">
        <f>761.55/'General values'!N16</f>
        <v>818.91508530380122</v>
      </c>
      <c r="V6" s="43" t="s">
        <v>944</v>
      </c>
      <c r="W6" s="2" t="s">
        <v>280</v>
      </c>
      <c r="Y6" s="527" t="s">
        <v>202</v>
      </c>
      <c r="Z6" s="364" t="s">
        <v>160</v>
      </c>
      <c r="AA6" s="543">
        <v>0.05</v>
      </c>
      <c r="AB6" s="137" t="s">
        <v>946</v>
      </c>
      <c r="AC6" s="2" t="s">
        <v>280</v>
      </c>
      <c r="AE6" s="36" t="s">
        <v>955</v>
      </c>
      <c r="AF6" t="s">
        <v>160</v>
      </c>
      <c r="AG6" s="226">
        <v>0.44</v>
      </c>
      <c r="AH6" s="41" t="s">
        <v>956</v>
      </c>
      <c r="AI6" s="226">
        <v>0.42</v>
      </c>
      <c r="AJ6" s="41" t="s">
        <v>956</v>
      </c>
      <c r="AK6" s="226">
        <v>0.31</v>
      </c>
      <c r="AL6" s="41" t="s">
        <v>956</v>
      </c>
      <c r="AM6" t="s">
        <v>280</v>
      </c>
      <c r="AN6"/>
      <c r="AO6" t="s">
        <v>280</v>
      </c>
      <c r="AP6" t="s">
        <v>280</v>
      </c>
      <c r="AQ6"/>
      <c r="AR6" t="s">
        <v>280</v>
      </c>
      <c r="AS6"/>
      <c r="AT6" t="s">
        <v>280</v>
      </c>
      <c r="AU6"/>
      <c r="AV6"/>
      <c r="AW6"/>
      <c r="AX6" s="37"/>
      <c r="AY6" s="2" t="s">
        <v>280</v>
      </c>
    </row>
    <row r="7" spans="1:51" ht="18">
      <c r="A7" s="527" t="s">
        <v>957</v>
      </c>
      <c r="B7" s="364"/>
      <c r="C7" s="543">
        <f>1/85%-1</f>
        <v>0.17647058823529416</v>
      </c>
      <c r="D7" s="37"/>
      <c r="G7" s="527" t="s">
        <v>776</v>
      </c>
      <c r="H7" s="364" t="s">
        <v>160</v>
      </c>
      <c r="I7" s="543">
        <v>0.15210000000000001</v>
      </c>
      <c r="J7" s="41" t="s">
        <v>942</v>
      </c>
      <c r="K7" s="543">
        <v>0.14610000000000001</v>
      </c>
      <c r="L7" s="41" t="s">
        <v>942</v>
      </c>
      <c r="M7" s="543">
        <v>0.14549999999999999</v>
      </c>
      <c r="N7" s="41" t="s">
        <v>942</v>
      </c>
      <c r="O7" t="s">
        <v>280</v>
      </c>
      <c r="P7" s="37"/>
      <c r="S7" s="527" t="s">
        <v>958</v>
      </c>
      <c r="T7" s="364" t="s">
        <v>941</v>
      </c>
      <c r="U7" s="548">
        <f>1017.7/'General values'!N16</f>
        <v>1094.360031926569</v>
      </c>
      <c r="V7" s="43" t="s">
        <v>944</v>
      </c>
      <c r="W7" s="2" t="s">
        <v>280</v>
      </c>
      <c r="Y7" s="527" t="s">
        <v>908</v>
      </c>
      <c r="Z7" s="364" t="s">
        <v>160</v>
      </c>
      <c r="AA7" s="364">
        <v>2030</v>
      </c>
      <c r="AB7" s="230" t="s">
        <v>959</v>
      </c>
      <c r="AC7" s="2" t="s">
        <v>280</v>
      </c>
      <c r="AE7" s="36" t="s">
        <v>960</v>
      </c>
      <c r="AF7" t="s">
        <v>160</v>
      </c>
      <c r="AG7" s="226">
        <v>0.24</v>
      </c>
      <c r="AH7" s="41" t="s">
        <v>956</v>
      </c>
      <c r="AI7" s="226">
        <v>0.27</v>
      </c>
      <c r="AJ7" s="41" t="s">
        <v>956</v>
      </c>
      <c r="AK7" s="226">
        <v>0.26</v>
      </c>
      <c r="AL7" s="41" t="s">
        <v>956</v>
      </c>
      <c r="AM7" s="226">
        <v>0.63</v>
      </c>
      <c r="AN7" s="41" t="s">
        <v>949</v>
      </c>
      <c r="AO7" s="233">
        <v>0.3</v>
      </c>
      <c r="AP7" s="51" t="s">
        <v>950</v>
      </c>
      <c r="AQ7" s="226">
        <v>0.46300000000000002</v>
      </c>
      <c r="AR7" s="41" t="s">
        <v>949</v>
      </c>
      <c r="AS7" s="226">
        <v>0.35599999999999998</v>
      </c>
      <c r="AT7" s="41" t="s">
        <v>949</v>
      </c>
      <c r="AU7" t="s">
        <v>280</v>
      </c>
      <c r="AV7"/>
      <c r="AW7"/>
      <c r="AX7" s="37"/>
      <c r="AY7" s="2" t="s">
        <v>280</v>
      </c>
    </row>
    <row r="8" spans="1:51" ht="18">
      <c r="A8" s="527" t="s">
        <v>961</v>
      </c>
      <c r="B8" s="364" t="s">
        <v>962</v>
      </c>
      <c r="C8" s="364">
        <v>1.1299999999999999</v>
      </c>
      <c r="D8" s="37"/>
      <c r="G8" s="527" t="s">
        <v>778</v>
      </c>
      <c r="H8" s="364" t="s">
        <v>160</v>
      </c>
      <c r="I8" s="543">
        <v>0.109</v>
      </c>
      <c r="J8" s="41" t="s">
        <v>942</v>
      </c>
      <c r="K8" s="543">
        <v>0.1113</v>
      </c>
      <c r="L8" s="41" t="s">
        <v>942</v>
      </c>
      <c r="M8" s="543">
        <v>0.1206</v>
      </c>
      <c r="N8" s="41" t="s">
        <v>942</v>
      </c>
      <c r="O8" t="s">
        <v>280</v>
      </c>
      <c r="P8" s="37"/>
      <c r="S8" s="527" t="s">
        <v>963</v>
      </c>
      <c r="T8" s="364" t="s">
        <v>160</v>
      </c>
      <c r="U8" s="543">
        <v>0.184</v>
      </c>
      <c r="V8" s="43" t="s">
        <v>944</v>
      </c>
      <c r="W8" s="2" t="s">
        <v>280</v>
      </c>
      <c r="Y8" s="527" t="s">
        <v>964</v>
      </c>
      <c r="Z8" s="364" t="s">
        <v>207</v>
      </c>
      <c r="AA8" s="364">
        <v>25</v>
      </c>
      <c r="AB8" s="137" t="s">
        <v>946</v>
      </c>
      <c r="AC8" s="2" t="s">
        <v>280</v>
      </c>
      <c r="AE8" s="36" t="s">
        <v>965</v>
      </c>
      <c r="AF8" t="s">
        <v>966</v>
      </c>
      <c r="AG8">
        <v>0</v>
      </c>
      <c r="AH8" t="s">
        <v>967</v>
      </c>
      <c r="AI8">
        <v>0</v>
      </c>
      <c r="AJ8" t="s">
        <v>967</v>
      </c>
      <c r="AK8">
        <v>0</v>
      </c>
      <c r="AL8" t="s">
        <v>967</v>
      </c>
      <c r="AM8">
        <v>0</v>
      </c>
      <c r="AN8" t="s">
        <v>967</v>
      </c>
      <c r="AO8">
        <v>0</v>
      </c>
      <c r="AP8" t="s">
        <v>967</v>
      </c>
      <c r="AQ8">
        <v>0</v>
      </c>
      <c r="AR8" t="s">
        <v>967</v>
      </c>
      <c r="AS8">
        <v>0</v>
      </c>
      <c r="AT8" t="s">
        <v>967</v>
      </c>
      <c r="AU8">
        <v>0</v>
      </c>
      <c r="AV8" t="s">
        <v>967</v>
      </c>
      <c r="AW8">
        <v>0</v>
      </c>
      <c r="AX8" s="37" t="s">
        <v>967</v>
      </c>
      <c r="AY8" s="2" t="s">
        <v>280</v>
      </c>
    </row>
    <row r="9" spans="1:51" ht="18">
      <c r="A9" s="527"/>
      <c r="B9" s="364" t="s">
        <v>968</v>
      </c>
      <c r="C9" s="548">
        <f>C5*C8*(1+C7)</f>
        <v>11.96470588235294</v>
      </c>
      <c r="D9" s="37"/>
      <c r="G9" s="527" t="s">
        <v>780</v>
      </c>
      <c r="H9" s="364" t="s">
        <v>160</v>
      </c>
      <c r="I9" s="364">
        <v>0.88</v>
      </c>
      <c r="J9" s="41" t="s">
        <v>969</v>
      </c>
      <c r="K9" s="364">
        <v>0.89</v>
      </c>
      <c r="L9" s="41" t="s">
        <v>969</v>
      </c>
      <c r="M9" s="364">
        <v>0.87</v>
      </c>
      <c r="N9" s="41" t="s">
        <v>969</v>
      </c>
      <c r="O9" t="s">
        <v>280</v>
      </c>
      <c r="P9" s="37"/>
      <c r="S9" s="527" t="s">
        <v>970</v>
      </c>
      <c r="T9" s="364" t="s">
        <v>160</v>
      </c>
      <c r="U9" s="543">
        <f>1-U5/U7</f>
        <v>0.44011005207821563</v>
      </c>
      <c r="V9" s="43" t="s">
        <v>944</v>
      </c>
      <c r="W9" s="2" t="s">
        <v>280</v>
      </c>
      <c r="Y9" s="527" t="s">
        <v>971</v>
      </c>
      <c r="Z9" s="364" t="s">
        <v>972</v>
      </c>
      <c r="AA9" s="548">
        <v>4.8600000000000003</v>
      </c>
      <c r="AB9" s="137" t="s">
        <v>946</v>
      </c>
      <c r="AC9" s="2" t="s">
        <v>280</v>
      </c>
      <c r="AE9" s="36" t="s">
        <v>973</v>
      </c>
      <c r="AF9" t="s">
        <v>974</v>
      </c>
      <c r="AG9">
        <v>0</v>
      </c>
      <c r="AH9" t="s">
        <v>975</v>
      </c>
      <c r="AI9">
        <v>0</v>
      </c>
      <c r="AJ9" t="s">
        <v>975</v>
      </c>
      <c r="AK9">
        <v>0</v>
      </c>
      <c r="AL9" t="s">
        <v>975</v>
      </c>
      <c r="AM9">
        <v>0</v>
      </c>
      <c r="AN9" t="s">
        <v>975</v>
      </c>
      <c r="AO9">
        <v>0</v>
      </c>
      <c r="AP9" t="s">
        <v>975</v>
      </c>
      <c r="AQ9">
        <v>0</v>
      </c>
      <c r="AR9" t="s">
        <v>975</v>
      </c>
      <c r="AS9">
        <v>0</v>
      </c>
      <c r="AT9" t="s">
        <v>975</v>
      </c>
      <c r="AU9">
        <v>0</v>
      </c>
      <c r="AV9" t="s">
        <v>975</v>
      </c>
      <c r="AW9">
        <v>0</v>
      </c>
      <c r="AX9" s="37" t="s">
        <v>975</v>
      </c>
      <c r="AY9" s="2" t="s">
        <v>280</v>
      </c>
    </row>
    <row r="10" spans="1:51" ht="18">
      <c r="A10" s="545" t="s">
        <v>976</v>
      </c>
      <c r="B10" s="546"/>
      <c r="C10" s="549">
        <v>0.97</v>
      </c>
      <c r="D10" s="139"/>
      <c r="G10" s="527" t="s">
        <v>783</v>
      </c>
      <c r="H10" s="364" t="s">
        <v>160</v>
      </c>
      <c r="I10" s="364">
        <v>0.68</v>
      </c>
      <c r="J10" s="41" t="s">
        <v>969</v>
      </c>
      <c r="K10" s="364">
        <v>0.71</v>
      </c>
      <c r="L10" s="41" t="s">
        <v>969</v>
      </c>
      <c r="M10" s="364">
        <v>0.73</v>
      </c>
      <c r="N10" s="41" t="s">
        <v>969</v>
      </c>
      <c r="O10" t="s">
        <v>280</v>
      </c>
      <c r="P10" s="37"/>
      <c r="S10" s="527" t="s">
        <v>833</v>
      </c>
      <c r="T10" s="364" t="s">
        <v>160</v>
      </c>
      <c r="U10" s="543">
        <v>0</v>
      </c>
      <c r="V10" s="43" t="s">
        <v>977</v>
      </c>
      <c r="W10" s="2" t="s">
        <v>280</v>
      </c>
      <c r="Y10" s="527" t="s">
        <v>848</v>
      </c>
      <c r="Z10" s="364" t="s">
        <v>160</v>
      </c>
      <c r="AA10" s="543">
        <v>0.95</v>
      </c>
      <c r="AB10" s="43" t="s">
        <v>978</v>
      </c>
      <c r="AC10" s="2" t="s">
        <v>280</v>
      </c>
      <c r="AE10" s="49" t="s">
        <v>979</v>
      </c>
      <c r="AF10" s="133" t="s">
        <v>980</v>
      </c>
      <c r="AG10" s="228">
        <v>30.27</v>
      </c>
      <c r="AH10" s="135" t="s">
        <v>981</v>
      </c>
      <c r="AI10" s="228">
        <v>30.27</v>
      </c>
      <c r="AJ10" s="135" t="s">
        <v>981</v>
      </c>
      <c r="AK10" s="228">
        <v>30.27</v>
      </c>
      <c r="AL10" s="135" t="s">
        <v>981</v>
      </c>
      <c r="AM10" s="133"/>
      <c r="AN10" s="133"/>
      <c r="AO10" s="133">
        <v>21.87</v>
      </c>
      <c r="AP10" s="135" t="s">
        <v>981</v>
      </c>
      <c r="AQ10" s="228">
        <v>13.46</v>
      </c>
      <c r="AR10" s="135" t="s">
        <v>981</v>
      </c>
      <c r="AS10" s="133"/>
      <c r="AT10" s="133"/>
      <c r="AU10" s="228">
        <v>30.27</v>
      </c>
      <c r="AV10" s="135" t="s">
        <v>981</v>
      </c>
      <c r="AW10" s="228">
        <v>9.49</v>
      </c>
      <c r="AX10" s="136" t="s">
        <v>981</v>
      </c>
      <c r="AY10" s="2" t="s">
        <v>280</v>
      </c>
    </row>
    <row r="11" spans="1:51" ht="18">
      <c r="G11" s="527" t="s">
        <v>982</v>
      </c>
      <c r="H11" s="364" t="s">
        <v>452</v>
      </c>
      <c r="I11" s="364">
        <v>3000</v>
      </c>
      <c r="J11" s="41" t="s">
        <v>969</v>
      </c>
      <c r="K11" s="364">
        <v>1200</v>
      </c>
      <c r="L11" s="41" t="s">
        <v>969</v>
      </c>
      <c r="M11" s="364">
        <v>500</v>
      </c>
      <c r="N11" s="41" t="s">
        <v>969</v>
      </c>
      <c r="O11" t="s">
        <v>280</v>
      </c>
      <c r="P11" s="37"/>
      <c r="S11" s="527" t="s">
        <v>836</v>
      </c>
      <c r="T11" s="364" t="s">
        <v>160</v>
      </c>
      <c r="U11" s="543">
        <v>0.11</v>
      </c>
      <c r="V11" s="43" t="s">
        <v>977</v>
      </c>
      <c r="W11" s="2" t="s">
        <v>280</v>
      </c>
      <c r="Y11" s="527" t="s">
        <v>920</v>
      </c>
      <c r="Z11" s="364" t="s">
        <v>983</v>
      </c>
      <c r="AA11" s="364">
        <v>3</v>
      </c>
      <c r="AB11" s="43" t="s">
        <v>978</v>
      </c>
      <c r="AC11" s="2" t="s">
        <v>280</v>
      </c>
    </row>
    <row r="12" spans="1:51" ht="18">
      <c r="G12" s="527" t="s">
        <v>984</v>
      </c>
      <c r="H12" s="364" t="s">
        <v>452</v>
      </c>
      <c r="I12" s="364">
        <v>4000</v>
      </c>
      <c r="J12" s="41" t="s">
        <v>969</v>
      </c>
      <c r="K12" s="364">
        <v>2000</v>
      </c>
      <c r="L12" s="41" t="s">
        <v>969</v>
      </c>
      <c r="M12" s="364">
        <v>1000</v>
      </c>
      <c r="N12" s="41" t="s">
        <v>969</v>
      </c>
      <c r="O12" t="s">
        <v>280</v>
      </c>
      <c r="P12" s="37"/>
      <c r="S12" s="527" t="s">
        <v>842</v>
      </c>
      <c r="T12" s="364" t="s">
        <v>160</v>
      </c>
      <c r="U12" s="364">
        <v>0.68</v>
      </c>
      <c r="V12" s="43" t="s">
        <v>985</v>
      </c>
      <c r="W12" s="2" t="s">
        <v>280</v>
      </c>
      <c r="Y12" s="527" t="s">
        <v>986</v>
      </c>
      <c r="Z12" s="364" t="s">
        <v>987</v>
      </c>
      <c r="AA12" s="364">
        <f>950/1000</f>
        <v>0.95</v>
      </c>
      <c r="AB12" s="43" t="s">
        <v>988</v>
      </c>
      <c r="AC12" s="2" t="s">
        <v>280</v>
      </c>
    </row>
    <row r="13" spans="1:51">
      <c r="G13" s="527" t="s">
        <v>736</v>
      </c>
      <c r="H13" s="364" t="s">
        <v>160</v>
      </c>
      <c r="I13" s="543">
        <v>0.626</v>
      </c>
      <c r="J13" s="41" t="s">
        <v>989</v>
      </c>
      <c r="K13" s="543">
        <v>0.626</v>
      </c>
      <c r="L13" s="41" t="s">
        <v>989</v>
      </c>
      <c r="M13" s="543">
        <v>0.626</v>
      </c>
      <c r="N13" s="41" t="s">
        <v>989</v>
      </c>
      <c r="O13" t="s">
        <v>280</v>
      </c>
      <c r="P13" s="37"/>
      <c r="S13" s="527" t="s">
        <v>736</v>
      </c>
      <c r="T13" s="364" t="s">
        <v>160</v>
      </c>
      <c r="U13" s="543">
        <v>0.37643199999999999</v>
      </c>
      <c r="V13" s="43" t="s">
        <v>990</v>
      </c>
      <c r="W13" s="2" t="s">
        <v>280</v>
      </c>
      <c r="Y13" s="545" t="s">
        <v>211</v>
      </c>
      <c r="Z13" s="546" t="s">
        <v>160</v>
      </c>
      <c r="AA13" s="549">
        <v>0.08</v>
      </c>
      <c r="AB13" s="139" t="s">
        <v>192</v>
      </c>
      <c r="AC13" s="2" t="s">
        <v>280</v>
      </c>
    </row>
    <row r="14" spans="1:51" ht="18">
      <c r="G14" s="527" t="s">
        <v>202</v>
      </c>
      <c r="H14" s="364" t="s">
        <v>160</v>
      </c>
      <c r="I14" s="544">
        <v>1.4999999999999999E-2</v>
      </c>
      <c r="J14" s="41" t="s">
        <v>991</v>
      </c>
      <c r="K14" s="544">
        <v>1.4999999999999999E-2</v>
      </c>
      <c r="L14" s="41" t="s">
        <v>991</v>
      </c>
      <c r="M14" s="544">
        <v>1.4999999999999999E-2</v>
      </c>
      <c r="N14" s="41" t="s">
        <v>991</v>
      </c>
      <c r="O14" t="s">
        <v>280</v>
      </c>
      <c r="P14" s="37"/>
      <c r="S14" s="527" t="s">
        <v>202</v>
      </c>
      <c r="T14" s="364" t="s">
        <v>160</v>
      </c>
      <c r="U14" s="544">
        <v>3.9300000000000002E-2</v>
      </c>
      <c r="V14" s="43" t="s">
        <v>944</v>
      </c>
      <c r="W14" s="2" t="s">
        <v>280</v>
      </c>
      <c r="AB14" s="213"/>
    </row>
    <row r="15" spans="1:51" ht="18">
      <c r="G15" s="527" t="s">
        <v>992</v>
      </c>
      <c r="H15" s="364" t="s">
        <v>207</v>
      </c>
      <c r="I15" s="364">
        <v>28</v>
      </c>
      <c r="J15" s="41" t="s">
        <v>993</v>
      </c>
      <c r="K15" s="364">
        <v>25</v>
      </c>
      <c r="L15" s="41" t="s">
        <v>993</v>
      </c>
      <c r="M15" s="364">
        <v>20</v>
      </c>
      <c r="N15" t="s">
        <v>192</v>
      </c>
      <c r="O15" t="s">
        <v>280</v>
      </c>
      <c r="P15" s="37"/>
      <c r="S15" s="527" t="s">
        <v>846</v>
      </c>
      <c r="T15" s="364" t="s">
        <v>207</v>
      </c>
      <c r="U15" s="551">
        <v>25</v>
      </c>
      <c r="V15" s="43" t="s">
        <v>944</v>
      </c>
      <c r="W15" s="2" t="s">
        <v>280</v>
      </c>
      <c r="AB15" s="234"/>
    </row>
    <row r="16" spans="1:51" ht="18">
      <c r="G16" s="527" t="s">
        <v>994</v>
      </c>
      <c r="H16" s="364" t="s">
        <v>207</v>
      </c>
      <c r="I16" s="364">
        <v>30</v>
      </c>
      <c r="J16" s="41" t="s">
        <v>993</v>
      </c>
      <c r="K16" s="364">
        <v>30</v>
      </c>
      <c r="L16" s="41" t="s">
        <v>993</v>
      </c>
      <c r="M16" s="364">
        <v>30</v>
      </c>
      <c r="N16" t="s">
        <v>192</v>
      </c>
      <c r="O16" t="s">
        <v>280</v>
      </c>
      <c r="P16" s="37"/>
      <c r="S16" s="527" t="s">
        <v>848</v>
      </c>
      <c r="T16" s="364" t="s">
        <v>160</v>
      </c>
      <c r="U16" s="543">
        <v>0.95</v>
      </c>
      <c r="V16" s="43" t="s">
        <v>944</v>
      </c>
      <c r="W16" s="2" t="s">
        <v>280</v>
      </c>
      <c r="AB16" s="213"/>
    </row>
    <row r="17" spans="7:23" ht="18">
      <c r="G17" s="527" t="s">
        <v>995</v>
      </c>
      <c r="H17" s="364" t="s">
        <v>772</v>
      </c>
      <c r="I17" s="364">
        <v>95000</v>
      </c>
      <c r="J17" s="41" t="s">
        <v>993</v>
      </c>
      <c r="K17" s="364">
        <v>74000</v>
      </c>
      <c r="L17" s="41" t="s">
        <v>993</v>
      </c>
      <c r="M17" s="364">
        <v>20000</v>
      </c>
      <c r="N17" s="41" t="s">
        <v>991</v>
      </c>
      <c r="O17" t="s">
        <v>280</v>
      </c>
      <c r="P17" s="37"/>
      <c r="S17" s="527" t="s">
        <v>996</v>
      </c>
      <c r="T17" s="364" t="s">
        <v>160</v>
      </c>
      <c r="U17" s="543">
        <v>0.66900000000000004</v>
      </c>
      <c r="V17" s="43" t="s">
        <v>944</v>
      </c>
      <c r="W17" s="2" t="s">
        <v>280</v>
      </c>
    </row>
    <row r="18" spans="7:23" ht="18">
      <c r="G18" s="527" t="s">
        <v>997</v>
      </c>
      <c r="H18" s="364" t="s">
        <v>772</v>
      </c>
      <c r="I18" s="364">
        <v>95000</v>
      </c>
      <c r="J18" s="41" t="s">
        <v>993</v>
      </c>
      <c r="K18" s="364">
        <v>78000</v>
      </c>
      <c r="L18" s="41" t="s">
        <v>993</v>
      </c>
      <c r="M18" s="364">
        <v>50000</v>
      </c>
      <c r="N18" s="41" t="s">
        <v>991</v>
      </c>
      <c r="O18" t="s">
        <v>280</v>
      </c>
      <c r="P18" s="37"/>
      <c r="S18" s="527" t="s">
        <v>998</v>
      </c>
      <c r="T18" s="364" t="s">
        <v>160</v>
      </c>
      <c r="U18" s="543">
        <v>0.9</v>
      </c>
      <c r="V18" s="43" t="s">
        <v>944</v>
      </c>
      <c r="W18" s="2" t="s">
        <v>280</v>
      </c>
    </row>
    <row r="19" spans="7:23" ht="18">
      <c r="G19" s="527" t="s">
        <v>999</v>
      </c>
      <c r="H19" s="364" t="s">
        <v>160</v>
      </c>
      <c r="I19" s="543">
        <v>0.52</v>
      </c>
      <c r="J19" s="41" t="s">
        <v>1000</v>
      </c>
      <c r="K19" s="543">
        <v>0.501</v>
      </c>
      <c r="L19" s="41" t="s">
        <v>1000</v>
      </c>
      <c r="M19" s="543">
        <v>0.66600000000000004</v>
      </c>
      <c r="N19" s="41" t="s">
        <v>1000</v>
      </c>
      <c r="O19" t="s">
        <v>280</v>
      </c>
      <c r="P19" s="37"/>
      <c r="S19" s="527" t="s">
        <v>1001</v>
      </c>
      <c r="T19" s="364" t="s">
        <v>1002</v>
      </c>
      <c r="U19" s="548">
        <v>300</v>
      </c>
      <c r="V19" s="37" t="s">
        <v>192</v>
      </c>
      <c r="W19" s="2" t="s">
        <v>280</v>
      </c>
    </row>
    <row r="20" spans="7:23" ht="18">
      <c r="G20" s="527" t="s">
        <v>1003</v>
      </c>
      <c r="H20" s="364" t="s">
        <v>160</v>
      </c>
      <c r="I20" s="543">
        <v>0.74</v>
      </c>
      <c r="J20" s="41" t="s">
        <v>1000</v>
      </c>
      <c r="K20" s="543">
        <v>0.74</v>
      </c>
      <c r="L20" s="41" t="s">
        <v>1000</v>
      </c>
      <c r="M20" s="543">
        <v>0.83299999999999996</v>
      </c>
      <c r="N20" s="41" t="s">
        <v>1000</v>
      </c>
      <c r="O20" t="s">
        <v>280</v>
      </c>
      <c r="P20" s="37"/>
      <c r="S20" s="527" t="s">
        <v>211</v>
      </c>
      <c r="T20" s="364" t="s">
        <v>160</v>
      </c>
      <c r="U20" s="543">
        <v>0.08</v>
      </c>
      <c r="V20" s="37" t="s">
        <v>192</v>
      </c>
      <c r="W20" s="2" t="s">
        <v>280</v>
      </c>
    </row>
    <row r="21" spans="7:23" ht="18">
      <c r="G21" s="527" t="s">
        <v>765</v>
      </c>
      <c r="H21" s="364" t="s">
        <v>160</v>
      </c>
      <c r="I21" s="543">
        <v>0.1</v>
      </c>
      <c r="J21" s="41" t="s">
        <v>993</v>
      </c>
      <c r="K21" s="543">
        <v>0.1</v>
      </c>
      <c r="L21" s="41" t="s">
        <v>993</v>
      </c>
      <c r="M21" s="543">
        <v>0.1</v>
      </c>
      <c r="N21" s="41" t="s">
        <v>993</v>
      </c>
      <c r="O21" t="s">
        <v>280</v>
      </c>
      <c r="P21" s="37"/>
      <c r="S21" s="527" t="s">
        <v>1004</v>
      </c>
      <c r="T21" s="364" t="s">
        <v>851</v>
      </c>
      <c r="U21" s="548">
        <v>2.9159999999999999</v>
      </c>
      <c r="V21" s="43" t="s">
        <v>944</v>
      </c>
      <c r="W21" s="2" t="s">
        <v>280</v>
      </c>
    </row>
    <row r="22" spans="7:23" ht="18">
      <c r="G22" s="527" t="s">
        <v>211</v>
      </c>
      <c r="H22" s="364" t="s">
        <v>160</v>
      </c>
      <c r="I22" s="543">
        <v>0.08</v>
      </c>
      <c r="J22" t="s">
        <v>192</v>
      </c>
      <c r="K22" s="543">
        <v>0.08</v>
      </c>
      <c r="L22" t="s">
        <v>192</v>
      </c>
      <c r="M22" s="543">
        <v>0.08</v>
      </c>
      <c r="N22" t="s">
        <v>192</v>
      </c>
      <c r="O22" t="s">
        <v>280</v>
      </c>
      <c r="P22" s="37"/>
      <c r="S22" s="527" t="s">
        <v>1005</v>
      </c>
      <c r="T22" s="364" t="s">
        <v>851</v>
      </c>
      <c r="U22" s="548">
        <v>0.48199999999999998</v>
      </c>
      <c r="V22" s="43" t="s">
        <v>944</v>
      </c>
      <c r="W22" s="2" t="s">
        <v>280</v>
      </c>
    </row>
    <row r="23" spans="7:23" ht="18">
      <c r="G23" s="527" t="s">
        <v>1006</v>
      </c>
      <c r="H23" s="364" t="s">
        <v>1007</v>
      </c>
      <c r="I23" s="364">
        <v>1.6</v>
      </c>
      <c r="J23" s="41" t="s">
        <v>978</v>
      </c>
      <c r="K23" s="364">
        <v>1.6</v>
      </c>
      <c r="L23" s="41" t="s">
        <v>978</v>
      </c>
      <c r="M23" s="364">
        <v>1.6</v>
      </c>
      <c r="N23" s="41" t="s">
        <v>978</v>
      </c>
      <c r="O23" t="s">
        <v>280</v>
      </c>
      <c r="P23" s="37"/>
      <c r="S23" s="527" t="s">
        <v>1008</v>
      </c>
      <c r="T23" s="364" t="s">
        <v>851</v>
      </c>
      <c r="U23" s="548">
        <v>3.706</v>
      </c>
      <c r="V23" s="43" t="s">
        <v>944</v>
      </c>
      <c r="W23" s="2" t="s">
        <v>280</v>
      </c>
    </row>
    <row r="24" spans="7:23" ht="18">
      <c r="G24" s="527" t="s">
        <v>1009</v>
      </c>
      <c r="H24" s="364" t="s">
        <v>1007</v>
      </c>
      <c r="I24" s="364">
        <v>1.8</v>
      </c>
      <c r="J24" s="41" t="s">
        <v>978</v>
      </c>
      <c r="K24" s="364">
        <v>1.8</v>
      </c>
      <c r="L24" s="41" t="s">
        <v>978</v>
      </c>
      <c r="M24" s="364">
        <v>1.8</v>
      </c>
      <c r="N24" s="41" t="s">
        <v>978</v>
      </c>
      <c r="O24" t="s">
        <v>280</v>
      </c>
      <c r="P24" s="37"/>
      <c r="S24" s="527" t="s">
        <v>1010</v>
      </c>
      <c r="T24" s="364" t="s">
        <v>851</v>
      </c>
      <c r="U24" s="548">
        <v>0</v>
      </c>
      <c r="V24" s="43" t="s">
        <v>944</v>
      </c>
      <c r="W24" s="2" t="s">
        <v>280</v>
      </c>
    </row>
    <row r="25" spans="7:23" ht="18">
      <c r="G25" s="527" t="s">
        <v>1011</v>
      </c>
      <c r="H25" s="364" t="s">
        <v>1007</v>
      </c>
      <c r="I25" s="364">
        <v>1.8</v>
      </c>
      <c r="J25" s="41" t="s">
        <v>978</v>
      </c>
      <c r="K25" s="364">
        <v>1.8</v>
      </c>
      <c r="L25" s="41" t="s">
        <v>978</v>
      </c>
      <c r="M25" s="364">
        <v>1.8</v>
      </c>
      <c r="N25" s="41" t="s">
        <v>978</v>
      </c>
      <c r="O25" t="s">
        <v>280</v>
      </c>
      <c r="P25" s="37"/>
      <c r="S25" s="527" t="s">
        <v>1012</v>
      </c>
      <c r="T25" s="364" t="s">
        <v>851</v>
      </c>
      <c r="U25" s="548">
        <v>2.9159999999999999</v>
      </c>
      <c r="V25" s="43" t="s">
        <v>944</v>
      </c>
      <c r="W25" s="2" t="s">
        <v>280</v>
      </c>
    </row>
    <row r="26" spans="7:23" ht="18">
      <c r="G26" s="545" t="s">
        <v>61</v>
      </c>
      <c r="H26" s="546" t="s">
        <v>59</v>
      </c>
      <c r="I26" s="546">
        <v>30</v>
      </c>
      <c r="J26" s="135" t="s">
        <v>1000</v>
      </c>
      <c r="K26" s="546">
        <v>30</v>
      </c>
      <c r="L26" s="135" t="s">
        <v>1000</v>
      </c>
      <c r="M26" s="546">
        <v>1</v>
      </c>
      <c r="N26" s="135" t="s">
        <v>1000</v>
      </c>
      <c r="O26" s="133"/>
      <c r="P26" s="139"/>
      <c r="S26" s="527" t="s">
        <v>1013</v>
      </c>
      <c r="T26" s="364" t="s">
        <v>851</v>
      </c>
      <c r="U26" s="548">
        <v>0.81699999999999995</v>
      </c>
      <c r="V26" s="43" t="s">
        <v>944</v>
      </c>
      <c r="W26" s="2" t="s">
        <v>280</v>
      </c>
    </row>
    <row r="27" spans="7:23" ht="18">
      <c r="S27" s="527" t="s">
        <v>1014</v>
      </c>
      <c r="T27" s="364" t="s">
        <v>857</v>
      </c>
      <c r="U27" s="548">
        <f>9.918/8.994</f>
        <v>1.1027351567711807</v>
      </c>
      <c r="V27" s="43" t="s">
        <v>944</v>
      </c>
      <c r="W27" s="2" t="s">
        <v>280</v>
      </c>
    </row>
    <row r="28" spans="7:23" ht="18">
      <c r="S28" s="527" t="s">
        <v>1015</v>
      </c>
      <c r="T28" s="364" t="s">
        <v>857</v>
      </c>
      <c r="U28" s="548">
        <f>1.542/8.994</f>
        <v>0.171447631754503</v>
      </c>
      <c r="V28" s="43" t="s">
        <v>944</v>
      </c>
      <c r="W28" s="2" t="s">
        <v>280</v>
      </c>
    </row>
    <row r="29" spans="7:23" ht="18">
      <c r="S29" s="545" t="s">
        <v>1016</v>
      </c>
      <c r="T29" s="546" t="s">
        <v>857</v>
      </c>
      <c r="U29" s="552">
        <f>0.426/8.994</f>
        <v>4.7364909939959975E-2</v>
      </c>
      <c r="V29" s="136" t="s">
        <v>944</v>
      </c>
      <c r="W29" s="2" t="s">
        <v>280</v>
      </c>
    </row>
    <row r="30" spans="7:23">
      <c r="S30" s="173"/>
      <c r="T30" s="173"/>
    </row>
    <row r="31" spans="7:23">
      <c r="S31" s="173"/>
      <c r="T31" s="173"/>
    </row>
    <row r="32" spans="7:23">
      <c r="S32" s="173"/>
      <c r="T32" s="173"/>
    </row>
  </sheetData>
  <sheetProtection algorithmName="SHA-512" hashValue="dHVT/p2UYo0/s5TmVPHuxaq5+0/G4FTnAQEFjwj+RXIyCn7PwmAGkfD4doZH6JOi4UcxBkh9NVC9J3ZJqfEyMw==" saltValue="4biiiJUjSrHiSdJT4bbDBA==" spinCount="100000" sheet="1" objects="1" scenarios="1"/>
  <mergeCells count="22">
    <mergeCell ref="A1:D3"/>
    <mergeCell ref="AK2:AL2"/>
    <mergeCell ref="G1:H3"/>
    <mergeCell ref="AG2:AH2"/>
    <mergeCell ref="AI2:AJ2"/>
    <mergeCell ref="I1:P1"/>
    <mergeCell ref="S1:T3"/>
    <mergeCell ref="U1:V3"/>
    <mergeCell ref="Y1:Z3"/>
    <mergeCell ref="AA1:AB3"/>
    <mergeCell ref="I2:J2"/>
    <mergeCell ref="K2:L2"/>
    <mergeCell ref="M2:N2"/>
    <mergeCell ref="O2:P2"/>
    <mergeCell ref="AE1:AF3"/>
    <mergeCell ref="AG1:AX1"/>
    <mergeCell ref="AS2:AT2"/>
    <mergeCell ref="AU2:AV2"/>
    <mergeCell ref="AW2:AX2"/>
    <mergeCell ref="AQ2:AR2"/>
    <mergeCell ref="AM2:AN2"/>
    <mergeCell ref="AO2:AP2"/>
  </mergeCells>
  <phoneticPr fontId="11" type="noConversion"/>
  <hyperlinks>
    <hyperlink ref="J5" r:id="rId1" display="[9] Böhm et al., 2019" xr:uid="{DD7C80DA-774E-554E-801B-C445255FACA1}"/>
    <hyperlink ref="J6" r:id="rId2" display="[9] Böhm et al., 2019" xr:uid="{B3C9AF83-399C-864E-9EF6-30C3AB829C50}"/>
    <hyperlink ref="J7" r:id="rId3" display="[9] Böhm et al., 2019" xr:uid="{0E3FB509-46D8-9843-A382-0310F65180DB}"/>
    <hyperlink ref="J8" r:id="rId4" display="[9] Böhm et al., 2019" xr:uid="{2D7B3D1B-8DF1-E040-B8BE-B3D7EAB30142}"/>
    <hyperlink ref="L5" r:id="rId5" display="[9] Böhm et al., 2019" xr:uid="{283290D3-DDC2-004F-BC77-D159CFD6529D}"/>
    <hyperlink ref="L6" r:id="rId6" display="[9] Böhm et al., 2019" xr:uid="{5A8E0E5E-B2D5-CC4D-B260-956DD2F6D7D3}"/>
    <hyperlink ref="L7" r:id="rId7" display="[9] Böhm et al., 2019" xr:uid="{C8B2843F-0A45-CF48-B883-D3B9966670D9}"/>
    <hyperlink ref="L8" r:id="rId8" display="[9] Böhm et al., 2019" xr:uid="{DCF186BA-69DF-5142-B2FC-204026984CB8}"/>
    <hyperlink ref="N5" r:id="rId9" display="[9] Böhm et al., 2019" xr:uid="{B0FBDC35-954E-E54C-8D61-029F053EEE5B}"/>
    <hyperlink ref="N6" r:id="rId10" display="[9] Böhm et al., 2019" xr:uid="{EE8A85B3-639E-2A40-9222-C338A070EB4E}"/>
    <hyperlink ref="N7" r:id="rId11" display="[9] Böhm et al., 2019" xr:uid="{78DCC07A-1498-F145-82CA-52C80AD68F0D}"/>
    <hyperlink ref="N8" r:id="rId12" display="[9] Böhm et al., 2019" xr:uid="{C3F22325-8576-A942-A728-370B08583C5F}"/>
    <hyperlink ref="J9" r:id="rId13" display="Author" xr:uid="{1357270F-43E9-C94F-AB2A-92EBD4F469F5}"/>
    <hyperlink ref="J10" r:id="rId14" display="Author" xr:uid="{DEA55328-615B-8148-9991-9D78470696C5}"/>
    <hyperlink ref="L9" r:id="rId15" display="Author" xr:uid="{845A64CB-0D94-9F41-8B7C-98F82E77D3EC}"/>
    <hyperlink ref="L10" r:id="rId16" display="Author" xr:uid="{53577DC9-7EFA-0741-8362-BCEDDF94CCD8}"/>
    <hyperlink ref="N9" r:id="rId17" display="Author" xr:uid="{C31400CA-B0F4-464B-9F45-A05A677EE086}"/>
    <hyperlink ref="N10" r:id="rId18" display="Author" xr:uid="{744243F2-600C-0C41-8163-6790DAA6FD59}"/>
    <hyperlink ref="J13" r:id="rId19" xr:uid="{BFA0E8F5-2232-0E4B-BFEE-38B9E6B7E3EA}"/>
    <hyperlink ref="J11" r:id="rId20" display="Author" xr:uid="{C89844FF-D526-4747-9527-13D90A0CF0D7}"/>
    <hyperlink ref="J12" r:id="rId21" display="Author" xr:uid="{53EE341B-7D9A-5942-ADEA-FA5766D98CD4}"/>
    <hyperlink ref="L11" r:id="rId22" display="Author" xr:uid="{82DA17C0-3058-0348-B7A9-33494B3E4A59}"/>
    <hyperlink ref="L12" r:id="rId23" display="Author" xr:uid="{80173CFE-5FCB-A346-92A9-343C28005989}"/>
    <hyperlink ref="N11" r:id="rId24" display="Author" xr:uid="{1A2EA16A-E935-7C42-8AFA-AEB3CA3BD2CE}"/>
    <hyperlink ref="N12" r:id="rId25" display="Author" xr:uid="{B3F22650-3819-FA45-849D-14B91D2D2F51}"/>
    <hyperlink ref="N17" r:id="rId26" display="IEA, The future of hydrogen, 2019" xr:uid="{6FB1B5D0-F018-5840-A543-10AF9B0C243D}"/>
    <hyperlink ref="N18" r:id="rId27" display="IEA, The future of hydrogen, 2019" xr:uid="{41867EB2-B71D-0742-908C-C593EEE1310B}"/>
    <hyperlink ref="J17" r:id="rId28" xr:uid="{9849AAC7-B85A-B542-B384-0DDD6069A82B}"/>
    <hyperlink ref="J18" r:id="rId29" xr:uid="{D2D5913B-D27F-B24C-BD44-EECFF80D6738}"/>
    <hyperlink ref="L17" r:id="rId30" xr:uid="{25736DA6-F874-7C41-B75B-CDC6ABEB2D78}"/>
    <hyperlink ref="L18" r:id="rId31" xr:uid="{81A9A369-878C-4E47-8DCC-81AE42A64AB9}"/>
    <hyperlink ref="J15" r:id="rId32" xr:uid="{61A776FD-33D9-A948-B76E-79A85972990B}"/>
    <hyperlink ref="J16" r:id="rId33" xr:uid="{880CB2B0-1ED9-9442-94B7-5CB2B2CFBF56}"/>
    <hyperlink ref="L15" r:id="rId34" xr:uid="{C4813772-88A8-4944-B531-6214A4109046}"/>
    <hyperlink ref="L16" r:id="rId35" xr:uid="{5E0FDC63-FF6D-1B4D-A1FB-6D3CD6A4B0D2}"/>
    <hyperlink ref="J19" r:id="rId36" display="[2] IRENA, Green Hydrogen cost reduction, 2020" xr:uid="{E7EDE453-E649-5D4C-B51E-2FC2682A3916}"/>
    <hyperlink ref="J20" r:id="rId37" display="[2] IRENA, Green Hydrogen cost reduction, 2020" xr:uid="{EEF52E3C-E1C0-3A40-AC11-035CEA67BA24}"/>
    <hyperlink ref="L19" r:id="rId38" display="[2] IRENA, Green Hydrogen cost reduction, 2020" xr:uid="{CD60A22E-3BF7-1B40-8710-A90E63B36FBD}"/>
    <hyperlink ref="L20" r:id="rId39" display="[2] IRENA, Green Hydrogen cost reduction, 2020" xr:uid="{24371158-1AD7-7848-86AD-366B4884B4E3}"/>
    <hyperlink ref="N19" r:id="rId40" display="[2] IRENA, Green Hydrogen cost reduction, 2020" xr:uid="{35BB77DD-C0D9-7345-BAE0-08F1E96EFF53}"/>
    <hyperlink ref="N20" r:id="rId41" display="[2] IRENA, Green Hydrogen cost reduction, 2020" xr:uid="{75D678A1-16C0-9548-ACB5-43DB192DA0F8}"/>
    <hyperlink ref="D5" r:id="rId42" display="Beswick et al., 2020" xr:uid="{D1AA6632-0A92-4043-9B86-972261F89429}"/>
    <hyperlink ref="J14" r:id="rId43" display="IEA, The future of hydrogen, 2019" xr:uid="{AFD7FF1C-827D-4AEC-B434-E0F6B54699D1}"/>
    <hyperlink ref="L14" r:id="rId44" display="IEA, The future of hydrogen, 2019" xr:uid="{5B37B12A-F2E3-4332-9C98-A78E558B4EA5}"/>
    <hyperlink ref="N14" r:id="rId45" display="IEA, The future of hydrogen, 2019" xr:uid="{2E5AF6D0-CD9B-4E34-8A5A-5E89127720AB}"/>
    <hyperlink ref="J21" r:id="rId46" xr:uid="{5F78BE06-3CF5-461C-8DF8-10DA86B10989}"/>
    <hyperlink ref="L21" r:id="rId47" xr:uid="{5C07FA4B-CABE-4655-B3A2-417134208E31}"/>
    <hyperlink ref="N21" r:id="rId48" xr:uid="{47997FAF-1049-40E6-9E2F-54DACEEB700C}"/>
    <hyperlink ref="AH6" r:id="rId49" xr:uid="{580E768C-74D2-6E49-BC4F-A6842F271FE6}"/>
    <hyperlink ref="AH7" r:id="rId50" xr:uid="{08B2D7C1-3322-F14D-9210-1F091F07DC7B}"/>
    <hyperlink ref="AJ6" r:id="rId51" xr:uid="{50220A2B-31E9-E447-8BF3-CBE62D0E95BA}"/>
    <hyperlink ref="AJ7" r:id="rId52" xr:uid="{BFFCF98A-1DA4-744D-B6D3-2AA31BBFF355}"/>
    <hyperlink ref="AL6" r:id="rId53" xr:uid="{E69FDBA4-7F8C-6C44-A4C1-FA985BD001FC}"/>
    <hyperlink ref="AL7" r:id="rId54" xr:uid="{52133073-F579-0141-816C-377082CCC88F}"/>
    <hyperlink ref="AH5" r:id="rId55" xr:uid="{434FBFB7-27A7-AC4A-8BE8-EC344CBF8364}"/>
    <hyperlink ref="AJ5" r:id="rId56" xr:uid="{C038E647-C526-C349-A886-104F6B75D7D1}"/>
    <hyperlink ref="AL5" r:id="rId57" xr:uid="{2C699153-41E3-C44A-B984-62C81D05A9CC}"/>
    <hyperlink ref="V5" r:id="rId58" display="Collodi et al., " xr:uid="{285921E8-5509-9544-BE88-340ADD1B7275}"/>
    <hyperlink ref="V8" r:id="rId59" display="Collodi et al., " xr:uid="{D62C2113-C3E4-D540-894A-FA68FE94B40C}"/>
    <hyperlink ref="V10" r:id="rId60" xr:uid="{43D0A176-7999-9845-8C77-3BA3B64F9A6F}"/>
    <hyperlink ref="V13" r:id="rId61" xr:uid="{4AA3FA98-B2E2-6C44-AC6F-258BEC6406FC}"/>
    <hyperlink ref="V12" r:id="rId62" display="Oni et al." xr:uid="{0A7CE60C-EF3A-1C4A-AA77-807CA5C981D1}"/>
    <hyperlink ref="V14" r:id="rId63" display="Collodi et al., " xr:uid="{D34C980E-FA6D-BC45-9DD9-5454347DE408}"/>
    <hyperlink ref="V16" r:id="rId64" display="Collodi et al., " xr:uid="{993D9221-72F4-4744-807E-E5CED5869F0B}"/>
    <hyperlink ref="V15" r:id="rId65" display="Collodi et al., " xr:uid="{51A7BD7D-E591-C045-842F-B1461C0A36EB}"/>
    <hyperlink ref="V11" r:id="rId66" xr:uid="{3EEC81CF-A25F-4189-AC06-9272FFFC16D1}"/>
    <hyperlink ref="V18" r:id="rId67" display="Collodi et al., " xr:uid="{59FB139E-20BE-4185-B375-065EAAACF9E8}"/>
    <hyperlink ref="L13" r:id="rId68" xr:uid="{EBA78B23-3001-6C4B-BCA0-DA4D74B1CBED}"/>
    <hyperlink ref="N13" r:id="rId69" xr:uid="{76A0EC55-C1A0-6344-A647-8689E0F6A208}"/>
    <hyperlink ref="AB5" r:id="rId70" xr:uid="{68BCF44A-26BB-6946-825B-973F3606733D}"/>
    <hyperlink ref="AB6" r:id="rId71" xr:uid="{E4894939-E596-EB4C-87A3-17CB2001EA51}"/>
    <hyperlink ref="AB8" r:id="rId72" xr:uid="{0FE5A6E2-7F72-3844-8B96-42FFE01F8DAB}"/>
    <hyperlink ref="AB9" r:id="rId73" xr:uid="{BC0037E4-3282-D045-B61B-1D0A260FDD47}"/>
    <hyperlink ref="AB10" r:id="rId74" xr:uid="{1F9C5DAE-892A-7449-9911-116074830D8A}"/>
    <hyperlink ref="AB11" r:id="rId75" xr:uid="{36B3A778-853F-F84E-B72E-8D7BE268B670}"/>
    <hyperlink ref="AB12" r:id="rId76" xr:uid="{D02C01BC-0535-E342-9AAB-B596D719A95F}"/>
    <hyperlink ref="J23" r:id="rId77" xr:uid="{29B4BB81-A2A4-6845-A76E-E4D79D0FE470}"/>
    <hyperlink ref="J24" r:id="rId78" xr:uid="{5EF30543-E841-0F4D-A2E7-5BE7F50B898D}"/>
    <hyperlink ref="J25" r:id="rId79" xr:uid="{ECD17368-4679-6745-B43C-D851AD659D73}"/>
    <hyperlink ref="L23" r:id="rId80" xr:uid="{92D9ACC5-54F1-FF4A-9FA9-3464DAB5E235}"/>
    <hyperlink ref="L24" r:id="rId81" xr:uid="{48EC2B25-B900-884A-A911-79D50643817D}"/>
    <hyperlink ref="L25" r:id="rId82" xr:uid="{EECB1C21-858A-6A4D-9055-A708A82E6CE4}"/>
    <hyperlink ref="N23" r:id="rId83" xr:uid="{9E756915-438C-BB4A-8F21-981C6DAA8D2D}"/>
    <hyperlink ref="N24" r:id="rId84" xr:uid="{C3F8FB53-019A-3B45-8595-F94B13283087}"/>
    <hyperlink ref="N25" r:id="rId85" xr:uid="{0EFAF8AE-DD08-DA49-B5C1-7A7BCEBDF334}"/>
    <hyperlink ref="AN5" r:id="rId86" xr:uid="{72C6D945-614C-3C40-B5B9-8B64CD3DEF0B}"/>
    <hyperlink ref="J26" r:id="rId87" display="[2] IRENA, Green Hydrogen cost reduction, 2020" xr:uid="{8172AB9B-8065-AA43-BEB5-1A39609FF953}"/>
    <hyperlink ref="L26" r:id="rId88" display="[2] IRENA, Green Hydrogen cost reduction, 2020" xr:uid="{E7149E6B-6615-B643-8205-6498C6F339FA}"/>
    <hyperlink ref="N26" r:id="rId89" display="[2] IRENA, Green Hydrogen cost reduction, 2020" xr:uid="{92351D5D-CF69-A248-862C-DF073BF24F7D}"/>
    <hyperlink ref="AH10" r:id="rId90" xr:uid="{DD683FFA-C920-4205-8671-61990E00BC18}"/>
    <hyperlink ref="AJ10" r:id="rId91" xr:uid="{E6B5E0B7-CCA5-4B22-8E02-C38E9D94DC9A}"/>
    <hyperlink ref="AL10" r:id="rId92" xr:uid="{119C1CF4-77F1-455E-8650-4F707433AE86}"/>
    <hyperlink ref="AV10" r:id="rId93" xr:uid="{206E51D8-EC0D-407A-B05B-774D2E565CF6}"/>
    <hyperlink ref="AX10" r:id="rId94" xr:uid="{A78BC318-B10F-45A9-A651-7750C19C4E82}"/>
    <hyperlink ref="AR10" r:id="rId95" xr:uid="{118B3B73-6642-4CB8-BA06-8BDCC429A9E1}"/>
    <hyperlink ref="AP5" r:id="rId96" xr:uid="{702A82C6-DFB3-4D48-B64D-F40B239453CA}"/>
    <hyperlink ref="AR5" r:id="rId97" xr:uid="{8D171AA9-3F2E-4DC0-90DA-A6417781EC49}"/>
    <hyperlink ref="AR7" r:id="rId98" xr:uid="{13D0AB33-5FF9-494B-8D08-624EA17E3D48}"/>
    <hyperlink ref="AT5" r:id="rId99" xr:uid="{7C078659-AA21-4863-919C-8C226A3CF6F8}"/>
    <hyperlink ref="AT7" r:id="rId100" xr:uid="{3CEAD987-010E-4988-990A-45CEB43C4BA2}"/>
    <hyperlink ref="AN7" r:id="rId101" xr:uid="{9953625C-BDAB-4B9C-98C7-9ED45B1B6E3A}"/>
    <hyperlink ref="AP7" r:id="rId102" xr:uid="{447B529B-4E44-344B-A9F8-04C02DE49FA8}"/>
    <hyperlink ref="AP10" r:id="rId103" xr:uid="{B214BBA8-5478-8D4D-A6E2-E363EF8455E7}"/>
    <hyperlink ref="V6" r:id="rId104" display="Collodi et al., " xr:uid="{653D9CBD-4B11-B540-9E0C-291B46DB39E1}"/>
    <hyperlink ref="V7" r:id="rId105" display="Collodi et al., " xr:uid="{8C574650-A44B-8546-A809-C6BEDD161EAB}"/>
    <hyperlink ref="V9" r:id="rId106" display="Collodi et al., " xr:uid="{180444D0-DB16-DD49-98F8-0B7AFEEB6C38}"/>
    <hyperlink ref="V21" r:id="rId107" display="Collodi et al., " xr:uid="{F29DE6F4-034D-354F-9688-DEAE3290430B}"/>
    <hyperlink ref="V22" r:id="rId108" display="Collodi et al., " xr:uid="{20598CF7-6761-FC49-9B21-C564D02B74C0}"/>
    <hyperlink ref="V23" r:id="rId109" display="Collodi et al., " xr:uid="{3E4733F9-23EF-CC44-8507-14469F6F47F9}"/>
    <hyperlink ref="V24" r:id="rId110" display="Collodi et al., " xr:uid="{88F39FE9-FB7E-E54E-AE0B-730779807208}"/>
    <hyperlink ref="V25" r:id="rId111" display="Collodi et al., " xr:uid="{25D0E48F-1B4A-C749-9100-598CA19FB288}"/>
    <hyperlink ref="V26" r:id="rId112" display="Collodi et al., " xr:uid="{6A924FA5-464E-774A-B678-23DE3159A56F}"/>
    <hyperlink ref="V17" r:id="rId113" display="Collodi et al., " xr:uid="{BFA6FA92-EF8E-724A-8898-5307A8D06B6F}"/>
    <hyperlink ref="D6" r:id="rId114" xr:uid="{912FF693-A8A2-F74C-8CF3-AE832F8D7B11}"/>
    <hyperlink ref="V27:V29" r:id="rId115" display="Collodi et al., " xr:uid="{D47B62E2-A776-134B-99CB-DFD14F8F3B16}"/>
  </hyperlinks>
  <pageMargins left="0.7" right="0.7" top="0.75" bottom="0.75" header="0.3" footer="0.3"/>
  <pageSetup paperSize="9" orientation="portrait" r:id="rId116"/>
  <legacyDrawing r:id="rId117"/>
  <tableParts count="5">
    <tablePart r:id="rId118"/>
    <tablePart r:id="rId119"/>
    <tablePart r:id="rId120"/>
    <tablePart r:id="rId121"/>
    <tablePart r:id="rId12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8603-C227-4CB8-9B57-526574C9992C}">
  <sheetPr>
    <tabColor theme="9" tint="0.79998168889431442"/>
  </sheetPr>
  <dimension ref="A1:H112"/>
  <sheetViews>
    <sheetView zoomScale="62" zoomScaleNormal="60" workbookViewId="0">
      <selection activeCell="H1" sqref="H1:XFD1048576"/>
    </sheetView>
  </sheetViews>
  <sheetFormatPr baseColWidth="10" defaultColWidth="8.83203125" defaultRowHeight="16"/>
  <cols>
    <col min="1" max="1" width="12.5" style="2" bestFit="1" customWidth="1"/>
    <col min="2" max="2" width="15" style="2" customWidth="1"/>
    <col min="3" max="3" width="10" style="2" bestFit="1" customWidth="1"/>
    <col min="4" max="4" width="16.1640625" style="2" customWidth="1"/>
    <col min="5" max="5" width="11.5" style="2" bestFit="1" customWidth="1"/>
    <col min="6" max="6" width="72" style="2" bestFit="1" customWidth="1"/>
    <col min="7" max="7" width="62.1640625" style="2" customWidth="1"/>
    <col min="8" max="9" width="8.83203125" style="1171"/>
    <col min="10" max="10" width="10.5" style="1171" bestFit="1" customWidth="1"/>
    <col min="11" max="16384" width="8.83203125" style="1171"/>
  </cols>
  <sheetData>
    <row r="1" spans="1:8">
      <c r="A1" s="213" t="s">
        <v>234</v>
      </c>
      <c r="B1" s="236"/>
      <c r="C1" s="236"/>
      <c r="D1" s="236"/>
      <c r="E1" s="236"/>
      <c r="F1" s="236"/>
      <c r="G1" s="236"/>
      <c r="H1" s="1171" t="str">
        <f>"-&gt; back"</f>
        <v>-&gt; back</v>
      </c>
    </row>
    <row r="2" spans="1:8" ht="17" thickBot="1">
      <c r="A2" s="236"/>
      <c r="B2" s="236"/>
      <c r="C2" s="236"/>
      <c r="D2" s="236"/>
      <c r="E2" s="236"/>
      <c r="F2" s="236"/>
      <c r="G2" s="236"/>
    </row>
    <row r="3" spans="1:8">
      <c r="A3" s="1143" t="s">
        <v>235</v>
      </c>
      <c r="B3" s="1144"/>
      <c r="C3" s="1144"/>
      <c r="D3" s="1144"/>
      <c r="E3" s="1144"/>
      <c r="F3" s="1144"/>
      <c r="G3" s="1145"/>
    </row>
    <row r="4" spans="1:8">
      <c r="A4" s="1146"/>
      <c r="B4" s="1147"/>
      <c r="C4" s="1147"/>
      <c r="D4" s="1147"/>
      <c r="E4" s="1147"/>
      <c r="F4" s="1147"/>
      <c r="G4" s="1148"/>
    </row>
    <row r="5" spans="1:8">
      <c r="A5" s="1149">
        <f>D60</f>
        <v>0.37558026102074277</v>
      </c>
      <c r="B5" s="1150"/>
      <c r="C5" s="1150"/>
      <c r="D5" s="1150"/>
      <c r="E5" s="1153" t="s">
        <v>236</v>
      </c>
      <c r="F5" s="1153"/>
      <c r="G5" s="1154"/>
    </row>
    <row r="6" spans="1:8" ht="17" thickBot="1">
      <c r="A6" s="1151"/>
      <c r="B6" s="1152"/>
      <c r="C6" s="1152"/>
      <c r="D6" s="1152"/>
      <c r="E6" s="1155"/>
      <c r="F6" s="1155"/>
      <c r="G6" s="1156"/>
    </row>
    <row r="7" spans="1:8">
      <c r="A7" s="553"/>
      <c r="B7" s="553"/>
      <c r="C7" s="553"/>
      <c r="D7" s="553"/>
      <c r="E7" s="553"/>
      <c r="F7" s="553"/>
      <c r="G7" s="553"/>
    </row>
    <row r="8" spans="1:8">
      <c r="A8" s="1157" t="s">
        <v>237</v>
      </c>
      <c r="B8" s="1158"/>
      <c r="C8" s="1158"/>
      <c r="D8" s="1158"/>
      <c r="E8" s="1159">
        <f>HOME!A9</f>
        <v>2022</v>
      </c>
      <c r="F8" s="1159"/>
      <c r="G8" s="1160"/>
    </row>
    <row r="9" spans="1:8">
      <c r="A9" s="554"/>
      <c r="B9" s="554"/>
      <c r="C9" s="554"/>
      <c r="D9" s="554"/>
      <c r="E9" s="555"/>
      <c r="F9" s="555"/>
      <c r="G9" s="555"/>
    </row>
    <row r="10" spans="1:8">
      <c r="A10" s="1163" t="s">
        <v>238</v>
      </c>
      <c r="B10" s="1164"/>
      <c r="C10" s="1164"/>
      <c r="D10" s="1164"/>
      <c r="E10" s="1165" t="s">
        <v>1315</v>
      </c>
      <c r="F10" s="1165"/>
      <c r="G10" s="1166"/>
    </row>
    <row r="11" spans="1:8">
      <c r="A11" s="1167" t="s">
        <v>239</v>
      </c>
      <c r="B11" s="1168"/>
      <c r="C11" s="1168"/>
      <c r="D11" s="1168"/>
      <c r="E11" s="1169">
        <f>IF(E10="Seasonal storage (1)", 1, IF(E10="Seasonal storage (2)", 2, IF(E10="Monthly storage", 12, IF(E10="Weekly storage", 52, IF(E10="Daily storage", 365)))))</f>
        <v>12</v>
      </c>
      <c r="F11" s="1169"/>
      <c r="G11" s="1170"/>
    </row>
    <row r="12" spans="1:8">
      <c r="A12" s="280"/>
      <c r="B12" s="280"/>
      <c r="C12" s="280"/>
      <c r="D12" s="280"/>
      <c r="E12" s="280"/>
      <c r="F12" s="280"/>
      <c r="G12" s="280"/>
    </row>
    <row r="13" spans="1:8">
      <c r="A13" s="1167" t="s">
        <v>240</v>
      </c>
      <c r="B13" s="1168"/>
      <c r="C13" s="1168"/>
      <c r="D13" s="1168"/>
      <c r="E13" s="1169" t="str">
        <f>IF(OR(E14="Tank - Type I",E14="Tank - Type II",E14="Tank - Type III",E14="Tank - Type IV"),"Storage tank","Geological storage")</f>
        <v>Geological storage</v>
      </c>
      <c r="F13" s="1169"/>
      <c r="G13" s="1170"/>
    </row>
    <row r="14" spans="1:8">
      <c r="A14" s="1177" t="s">
        <v>241</v>
      </c>
      <c r="B14" s="1178"/>
      <c r="C14" s="1178"/>
      <c r="D14" s="1178"/>
      <c r="E14" s="1179" t="str">
        <f>HOME!K15</f>
        <v>Geological - Depleted NG or Oil Reservoir</v>
      </c>
      <c r="F14" s="1179"/>
      <c r="G14" s="1180"/>
    </row>
    <row r="15" spans="1:8">
      <c r="A15" s="1161"/>
      <c r="B15" s="1162"/>
      <c r="C15" s="1162"/>
      <c r="D15" s="1162"/>
      <c r="E15" s="1181" t="str">
        <f>IF(D29&lt;D39, "Error: The volume storage desired for the reservoir is smaller than the minimum design volume for geological reservoirs. Please select one type of the storage tanks instead.", "-")</f>
        <v>-</v>
      </c>
      <c r="F15" s="1181"/>
      <c r="G15" s="1182"/>
    </row>
    <row r="16" spans="1:8">
      <c r="A16" s="280"/>
      <c r="B16" s="280"/>
      <c r="C16" s="280"/>
      <c r="D16" s="280"/>
      <c r="E16" s="280"/>
      <c r="F16" s="280"/>
      <c r="G16" s="280"/>
    </row>
    <row r="17" spans="1:7">
      <c r="A17" s="1157" t="s">
        <v>242</v>
      </c>
      <c r="B17" s="1158"/>
      <c r="C17" s="1158"/>
      <c r="D17" s="1158"/>
      <c r="E17" s="1159" t="str">
        <f>HOME!$B$9</f>
        <v>Spain</v>
      </c>
      <c r="F17" s="1159"/>
      <c r="G17" s="1160"/>
    </row>
    <row r="18" spans="1:7" ht="17" thickBot="1">
      <c r="A18" s="280"/>
      <c r="B18" s="280"/>
      <c r="C18" s="280"/>
      <c r="D18" s="280"/>
      <c r="E18" s="280"/>
      <c r="F18" s="280"/>
      <c r="G18" s="280"/>
    </row>
    <row r="19" spans="1:7" ht="17" thickBot="1">
      <c r="A19" s="1174" t="s">
        <v>243</v>
      </c>
      <c r="B19" s="1175"/>
      <c r="C19" s="1175"/>
      <c r="D19" s="1175"/>
      <c r="E19" s="1175"/>
      <c r="F19" s="1175"/>
      <c r="G19" s="1176"/>
    </row>
    <row r="20" spans="1:7">
      <c r="A20" s="556"/>
      <c r="B20" s="556"/>
      <c r="C20" s="556"/>
      <c r="D20" s="556"/>
      <c r="E20" s="556"/>
      <c r="F20" s="556"/>
      <c r="G20" s="556"/>
    </row>
    <row r="21" spans="1:7">
      <c r="A21" s="526" t="s">
        <v>154</v>
      </c>
      <c r="B21" s="526" t="s">
        <v>244</v>
      </c>
      <c r="C21" s="526" t="s">
        <v>245</v>
      </c>
      <c r="D21" s="526" t="s">
        <v>246</v>
      </c>
      <c r="E21" s="526" t="s">
        <v>247</v>
      </c>
      <c r="F21" s="557" t="s">
        <v>248</v>
      </c>
      <c r="G21" s="558"/>
    </row>
    <row r="23" spans="1:7" ht="18">
      <c r="A23" s="526" t="s">
        <v>191</v>
      </c>
      <c r="B23" s="559" cm="1">
        <f t="array" ref="B23">IFERROR(INDEX(Tb_FinStor[],MATCH(A23,Tb_FinStor[Parameter],0),HLOOKUP(IF($E$13="Storage tank",$E$14,$E$14&amp;$E$17), 'Storage Data'!$C$4:$AG$5,2,FALSE)+2),"-")</f>
        <v>1.4999999999999999E-2</v>
      </c>
      <c r="C23" s="184"/>
      <c r="D23" s="588">
        <f>IF(ISBLANK(C23),B23,C23)</f>
        <v>1.4999999999999999E-2</v>
      </c>
      <c r="E23" s="335"/>
      <c r="F23" s="574" t="s">
        <v>249</v>
      </c>
      <c r="G23" s="126" t="s">
        <v>250</v>
      </c>
    </row>
    <row r="24" spans="1:7">
      <c r="A24" s="280"/>
      <c r="B24" s="280"/>
      <c r="D24" s="280"/>
      <c r="E24" s="280"/>
      <c r="F24" s="280"/>
      <c r="G24" s="237"/>
    </row>
    <row r="25" spans="1:7" ht="18">
      <c r="A25" s="526" t="s">
        <v>251</v>
      </c>
      <c r="B25" s="560">
        <f>(D28/8760)*D27</f>
        <v>263.54166666666669</v>
      </c>
      <c r="C25" s="206"/>
      <c r="D25" s="520">
        <f>IF(ISBLANK(C25),B25,C25)</f>
        <v>263.54166666666669</v>
      </c>
      <c r="E25" s="415" t="s">
        <v>252</v>
      </c>
      <c r="F25" s="575" t="s">
        <v>253</v>
      </c>
      <c r="G25" s="1044" t="s">
        <v>254</v>
      </c>
    </row>
    <row r="26" spans="1:7" ht="18">
      <c r="A26" s="526" t="s">
        <v>255</v>
      </c>
      <c r="B26" s="561">
        <f>IF(E10="Seasonal storage (1)", 8760, IF(E10="Seasonal storage (2)", 4380, IF(E10="Monthly storage", 730, IF(E10="Weekly storage", 168, 24))))</f>
        <v>730</v>
      </c>
      <c r="C26" s="185"/>
      <c r="D26" s="589">
        <f>IF(ISBLANK(C26),B26,C26)</f>
        <v>730</v>
      </c>
      <c r="E26" s="415" t="s">
        <v>256</v>
      </c>
      <c r="F26" s="575" t="s">
        <v>257</v>
      </c>
      <c r="G26" s="1045"/>
    </row>
    <row r="27" spans="1:7" ht="18">
      <c r="A27" s="526" t="s">
        <v>258</v>
      </c>
      <c r="B27" s="562">
        <f>0.5*D26</f>
        <v>365</v>
      </c>
      <c r="C27" s="124"/>
      <c r="D27" s="589">
        <f>IF(ISBLANK(C27),B27,C27)</f>
        <v>365</v>
      </c>
      <c r="E27" s="415" t="s">
        <v>256</v>
      </c>
      <c r="F27" s="575" t="s">
        <v>259</v>
      </c>
      <c r="G27" s="1045"/>
    </row>
    <row r="28" spans="1:7" ht="18">
      <c r="A28" s="526" t="s">
        <v>260</v>
      </c>
      <c r="B28" s="562">
        <f>HOME!$B$69</f>
        <v>6325</v>
      </c>
      <c r="C28" s="124"/>
      <c r="D28" s="590">
        <f>IF(ISBLANK(C28),B28,C28)</f>
        <v>6325</v>
      </c>
      <c r="E28" s="576" t="s">
        <v>261</v>
      </c>
      <c r="F28" s="575" t="s">
        <v>259</v>
      </c>
      <c r="G28" s="1045"/>
    </row>
    <row r="29" spans="1:7" ht="18">
      <c r="A29" s="526" t="s">
        <v>262</v>
      </c>
      <c r="B29" s="562">
        <f>IF(E13='List DB'!$Q$41, (D25*1000)/D30, ((D25*1000)/D30)/(1-D33))</f>
        <v>54604.85133803411</v>
      </c>
      <c r="C29" s="124"/>
      <c r="D29" s="590">
        <f t="shared" ref="D29:D33" si="0">IF(ISBLANK(C29),B29,C29)</f>
        <v>54604.85133803411</v>
      </c>
      <c r="E29" s="576" t="s">
        <v>209</v>
      </c>
      <c r="F29" s="575" t="s">
        <v>263</v>
      </c>
      <c r="G29" s="1045"/>
    </row>
    <row r="30" spans="1:7">
      <c r="A30" s="563" t="s">
        <v>264</v>
      </c>
      <c r="B30" s="564" cm="1">
        <f t="array" ref="B30">IF(HOME!B13="Yes",IFERROR(INDEX(Tb_FinStor[],MATCH(A30,Tb_FinStor[Parameter],0),HLOOKUP(IF($E$13="Storage tank",$E$14,$E$14&amp;$E$17), 'Storage Data'!$C$4:$AG$5,2,FALSE)+2),"-"),IF(FinalStorage!E13="Geological storage",-2.8637*10^-5*FinalStorage!D31^2+0.0740957*FinalStorage!D31+0.2551811,-3.01757*10^-5*FinalStorage!D31^2+0.07641119*FinalStorage!D31+0.2743663))</f>
        <v>10.725203599999999</v>
      </c>
      <c r="C30" s="124"/>
      <c r="D30" s="591">
        <f t="shared" si="0"/>
        <v>10.725203599999999</v>
      </c>
      <c r="E30" s="577" t="s">
        <v>205</v>
      </c>
      <c r="F30" s="575" t="s">
        <v>265</v>
      </c>
      <c r="G30" s="1045"/>
    </row>
    <row r="31" spans="1:7" ht="18">
      <c r="A31" s="563" t="s">
        <v>189</v>
      </c>
      <c r="B31" s="564" cm="1">
        <f t="array" ref="B31">IFERROR(INDEX(Tb_FinStor[],MATCH(A31,Tb_FinStor[Parameter],0),HLOOKUP(IF($E$13="Storage tank",$E$14,$E$14&amp;$E$17), 'Storage Data'!$C$4:$AG$5,2,FALSE)+2),"-")</f>
        <v>150</v>
      </c>
      <c r="C31" s="124"/>
      <c r="D31" s="591">
        <f t="shared" si="0"/>
        <v>150</v>
      </c>
      <c r="E31" s="577" t="s">
        <v>59</v>
      </c>
      <c r="F31" s="575"/>
      <c r="G31" s="1045"/>
    </row>
    <row r="32" spans="1:7" ht="18">
      <c r="A32" s="364" t="s">
        <v>193</v>
      </c>
      <c r="B32" s="564" cm="1">
        <f t="array" ref="B32">IFERROR(INDEX(Tb_FinStor[],MATCH(A32,Tb_FinStor[Parameter],0),HLOOKUP(IF($E$13="Storage tank",$E$14,$E$14&amp;$E$17), 'Storage Data'!$C$4:$AG$5,2,FALSE)+2),"-")</f>
        <v>35</v>
      </c>
      <c r="C32" s="124"/>
      <c r="D32" s="591">
        <f t="shared" si="0"/>
        <v>35</v>
      </c>
      <c r="E32" s="578" t="s">
        <v>200</v>
      </c>
      <c r="F32" s="575"/>
      <c r="G32" s="1045"/>
    </row>
    <row r="33" spans="1:7" ht="18">
      <c r="A33" s="563" t="s">
        <v>221</v>
      </c>
      <c r="B33" s="565" cm="1">
        <f t="array" ref="B33">IFERROR(INDEX(Tb_FinStor[],MATCH(A33,Tb_FinStor[Parameter],0),HLOOKUP(IF($E$13="Storage tank",$E$14,$E$14&amp;$E$17), 'Storage Data'!$C$4:$AG$5,2,FALSE)+2),"-")</f>
        <v>0.55000000000000004</v>
      </c>
      <c r="C33" s="130"/>
      <c r="D33" s="592">
        <f t="shared" si="0"/>
        <v>0.55000000000000004</v>
      </c>
      <c r="E33" s="577"/>
      <c r="F33" s="575" t="s">
        <v>266</v>
      </c>
      <c r="G33" s="1046"/>
    </row>
    <row r="34" spans="1:7">
      <c r="A34" s="566"/>
      <c r="B34" s="567"/>
      <c r="C34" s="239"/>
      <c r="D34" s="593"/>
      <c r="E34" s="579"/>
      <c r="F34" s="580"/>
      <c r="G34" s="237"/>
    </row>
    <row r="35" spans="1:7" ht="18">
      <c r="A35" s="526" t="s">
        <v>208</v>
      </c>
      <c r="B35" s="508" cm="1">
        <f t="array" ref="B35">IFERROR(INDEX(Tb_FinStor[],MATCH(A35,Tb_FinStor[Parameter],0),HLOOKUP(IF($E$13="Storage tank",$E$14,$E$14&amp;$E$17), 'Storage Data'!$C$4:$AG$5,2,FALSE)+2),"-")</f>
        <v>0</v>
      </c>
      <c r="C35" s="183"/>
      <c r="D35" s="594">
        <f>IF(ISBLANK(C35),B35,C35)</f>
        <v>0</v>
      </c>
      <c r="E35" s="581" t="s">
        <v>209</v>
      </c>
      <c r="F35" s="582" t="s">
        <v>267</v>
      </c>
      <c r="G35" s="1044" t="s">
        <v>268</v>
      </c>
    </row>
    <row r="36" spans="1:7" ht="18">
      <c r="A36" s="563" t="s">
        <v>269</v>
      </c>
      <c r="B36" s="562" t="e">
        <f>D29/D35</f>
        <v>#DIV/0!</v>
      </c>
      <c r="C36" s="124"/>
      <c r="D36" s="595" t="e">
        <f>IF(ISBLANK(C36),B36,C36)</f>
        <v>#DIV/0!</v>
      </c>
      <c r="E36" s="576"/>
      <c r="F36" s="575" t="s">
        <v>270</v>
      </c>
      <c r="G36" s="1045"/>
    </row>
    <row r="37" spans="1:7" ht="18">
      <c r="A37" s="563" t="s">
        <v>271</v>
      </c>
      <c r="B37" s="562" t="e">
        <f>ROUNDDOWN(D29/D35,0)</f>
        <v>#DIV/0!</v>
      </c>
      <c r="C37" s="124"/>
      <c r="D37" s="595" t="e">
        <f t="shared" ref="D37" si="1">IF(ISBLANK(C37),B37,C37)</f>
        <v>#DIV/0!</v>
      </c>
      <c r="E37" s="576"/>
      <c r="F37" s="575" t="s">
        <v>272</v>
      </c>
      <c r="G37" s="1046"/>
    </row>
    <row r="38" spans="1:7">
      <c r="A38" s="568"/>
      <c r="B38" s="569"/>
      <c r="C38" s="241"/>
      <c r="D38" s="596"/>
      <c r="E38" s="583"/>
      <c r="F38" s="584"/>
      <c r="G38" s="242"/>
    </row>
    <row r="39" spans="1:7" ht="18">
      <c r="A39" s="563" t="s">
        <v>212</v>
      </c>
      <c r="B39" s="564" cm="1">
        <f t="array" ref="B39">IFERROR(INDEX(Tb_FinStor[],MATCH(A39,Tb_FinStor[Parameter],0),HLOOKUP(IF($E$13="Storage tank",$E$14,$E$14&amp;$E$17), 'Storage Data'!$C$4:$AG$5,2,FALSE)+2),"-")</f>
        <v>7000</v>
      </c>
      <c r="C39" s="124"/>
      <c r="D39" s="591">
        <f>IF(ISBLANK(C39),B39,C39)</f>
        <v>7000</v>
      </c>
      <c r="E39" s="577" t="s">
        <v>209</v>
      </c>
      <c r="F39" s="582" t="s">
        <v>273</v>
      </c>
      <c r="G39" s="1044" t="s">
        <v>274</v>
      </c>
    </row>
    <row r="40" spans="1:7" ht="18">
      <c r="A40" s="563" t="s">
        <v>217</v>
      </c>
      <c r="B40" s="564" cm="1">
        <f t="array" ref="B40">IFERROR(INDEX(Tb_FinStor[],MATCH(A40,Tb_FinStor[Parameter],0),HLOOKUP(IF($E$13="Storage tank",$E$14,$E$14&amp;$E$17), 'Storage Data'!$C$4:$AG$5,2,FALSE)+2),"-")</f>
        <v>1000000</v>
      </c>
      <c r="C40" s="124"/>
      <c r="D40" s="591">
        <f t="shared" ref="D40:D42" si="2">IF(ISBLANK(C40),B40,C40)</f>
        <v>1000000</v>
      </c>
      <c r="E40" s="577" t="s">
        <v>209</v>
      </c>
      <c r="F40" s="582" t="s">
        <v>275</v>
      </c>
      <c r="G40" s="1045"/>
    </row>
    <row r="41" spans="1:7" ht="18">
      <c r="A41" s="563" t="s">
        <v>276</v>
      </c>
      <c r="B41" s="562">
        <f>D29/D40</f>
        <v>5.4604851338034111E-2</v>
      </c>
      <c r="C41" s="124"/>
      <c r="D41" s="590">
        <f t="shared" si="2"/>
        <v>5.4604851338034111E-2</v>
      </c>
      <c r="E41" s="576"/>
      <c r="F41" s="575" t="s">
        <v>277</v>
      </c>
      <c r="G41" s="1045"/>
    </row>
    <row r="42" spans="1:7" ht="18">
      <c r="A42" s="563" t="s">
        <v>278</v>
      </c>
      <c r="B42" s="562">
        <f>ROUNDDOWN(D29/D40,0)</f>
        <v>0</v>
      </c>
      <c r="C42" s="124"/>
      <c r="D42" s="590">
        <f t="shared" si="2"/>
        <v>0</v>
      </c>
      <c r="E42" s="576"/>
      <c r="F42" s="575" t="s">
        <v>279</v>
      </c>
      <c r="G42" s="1046"/>
    </row>
    <row r="43" spans="1:7">
      <c r="A43" s="364"/>
      <c r="B43" s="364"/>
      <c r="C43"/>
      <c r="D43" s="364"/>
      <c r="E43" s="364" t="s">
        <v>280</v>
      </c>
      <c r="F43" s="364"/>
      <c r="G43"/>
    </row>
    <row r="44" spans="1:7" ht="18">
      <c r="A44" s="526" t="s">
        <v>202</v>
      </c>
      <c r="B44" s="570" cm="1">
        <f t="array" ref="B44">IFERROR(INDEX(Tb_FinStor[],MATCH(A44,Tb_FinStor[Parameter],0),HLOOKUP(IF($E$13="Storage tank",$E$14,$E$14&amp;$E$17), 'Storage Data'!$C$4:$AG$5,2,FALSE)+2),"-")</f>
        <v>0.04</v>
      </c>
      <c r="C44" s="130"/>
      <c r="D44" s="597">
        <f t="shared" ref="D44:D51" si="3">IF(ISBLANK(C44),B44,C44)</f>
        <v>0.04</v>
      </c>
      <c r="E44" s="581"/>
      <c r="F44" s="582" t="s">
        <v>281</v>
      </c>
      <c r="G44" s="1044" t="s">
        <v>282</v>
      </c>
    </row>
    <row r="45" spans="1:7" ht="18">
      <c r="A45" s="571" t="s">
        <v>206</v>
      </c>
      <c r="B45" s="508" cm="1">
        <f t="array" ref="B45">IFERROR(INDEX(Tb_FinStor[],MATCH(A45,Tb_FinStor[Parameter],0),HLOOKUP(IF($E$13="Storage tank",$E$14,$E$14&amp;$E$17), 'Storage Data'!$C$4:$AG$5,2,FALSE)+2),"-")</f>
        <v>40</v>
      </c>
      <c r="C45" s="125"/>
      <c r="D45" s="509">
        <f t="shared" si="3"/>
        <v>40</v>
      </c>
      <c r="E45" s="581" t="s">
        <v>207</v>
      </c>
      <c r="F45" s="585" t="s">
        <v>283</v>
      </c>
      <c r="G45" s="1045"/>
    </row>
    <row r="46" spans="1:7">
      <c r="A46" s="526" t="s">
        <v>211</v>
      </c>
      <c r="B46" s="506" cm="1">
        <f t="array" ref="B46">IFERROR((INDEX(Tb_FinStor[],MATCH(A46,Tb_FinStor[Parameter],0),HLOOKUP(IF($E$13="Storage tank",$E$14,$E$14&amp;$E$17), 'Storage Data'!$C$4:$AG$5,2,FALSE)+2)+1)/(1+'General values'!R9)-1,"-")</f>
        <v>6.1086139562302133E-2</v>
      </c>
      <c r="C46" s="130"/>
      <c r="D46" s="512">
        <f t="shared" si="3"/>
        <v>6.1086139562302133E-2</v>
      </c>
      <c r="E46" s="581"/>
      <c r="F46" s="582" t="s">
        <v>284</v>
      </c>
      <c r="G46" s="1045"/>
    </row>
    <row r="47" spans="1:7" ht="18">
      <c r="A47" s="526" t="s">
        <v>285</v>
      </c>
      <c r="B47" s="572">
        <f>HOME!H58+HOME!H82</f>
        <v>5.0074246960674991</v>
      </c>
      <c r="C47" s="183"/>
      <c r="D47" s="595">
        <f t="shared" si="3"/>
        <v>5.0074246960674991</v>
      </c>
      <c r="E47" s="586" t="s">
        <v>286</v>
      </c>
      <c r="F47" s="582" t="s">
        <v>287</v>
      </c>
      <c r="G47" s="1045"/>
    </row>
    <row r="48" spans="1:7" ht="18">
      <c r="A48" s="526" t="s">
        <v>288</v>
      </c>
      <c r="B48" s="573">
        <f>D46/(1-((D46+1)^(-D45)))</f>
        <v>6.7373421556356394E-2</v>
      </c>
      <c r="C48" s="130"/>
      <c r="D48" s="598">
        <f t="shared" si="3"/>
        <v>6.7373421556356394E-2</v>
      </c>
      <c r="E48" s="586"/>
      <c r="F48" s="582" t="s">
        <v>289</v>
      </c>
      <c r="G48" s="1045"/>
    </row>
    <row r="49" spans="1:7" ht="18">
      <c r="A49" s="526" t="s">
        <v>215</v>
      </c>
      <c r="B49" s="508" cm="1">
        <f t="array" ref="B49">IFERROR(INDEX(Tb_FinStor[],MATCH(A49,Tb_FinStor[Parameter],0),HLOOKUP(IF($E$13="Storage tank",$E$14,$E$14&amp;$E$17), 'Storage Data'!$C$4:$AG$5,2,FALSE)+2),"-")</f>
        <v>0.48</v>
      </c>
      <c r="C49" s="124"/>
      <c r="D49" s="509">
        <f t="shared" si="3"/>
        <v>0.48</v>
      </c>
      <c r="E49" s="335"/>
      <c r="F49" s="582" t="s">
        <v>290</v>
      </c>
      <c r="G49" s="1045"/>
    </row>
    <row r="50" spans="1:7" ht="18">
      <c r="A50" s="526" t="s">
        <v>229</v>
      </c>
      <c r="B50" s="508" cm="1">
        <f t="array" ref="B50">IFERROR(INDEX(Tb_FinStor[],MATCH(A50,Tb_FinStor[Parameter],0),HLOOKUP(IF($E$13="Storage tank",$E$14,$E$14&amp;$E$17), 'Storage Data'!$C$4:$AG$5,2,FALSE)+2),"-")</f>
        <v>1</v>
      </c>
      <c r="C50" s="124"/>
      <c r="D50" s="509">
        <f t="shared" si="3"/>
        <v>1</v>
      </c>
      <c r="E50" s="335"/>
      <c r="F50" s="582" t="s">
        <v>291</v>
      </c>
      <c r="G50" s="1045"/>
    </row>
    <row r="51" spans="1:7" ht="18">
      <c r="A51" s="526" t="s">
        <v>219</v>
      </c>
      <c r="B51" s="508" cm="1">
        <f t="array" ref="B51">IFERROR(INDEX(Tb_FinStor[],MATCH(A51,Tb_FinStor[Parameter],0),HLOOKUP(IF($E$13="Storage tank",$E$14,$E$14&amp;$E$17), 'Storage Data'!$C$4:$AG$5,2,FALSE)+2),"-")</f>
        <v>28.613499999999998</v>
      </c>
      <c r="C51" s="124"/>
      <c r="D51" s="509">
        <f t="shared" si="3"/>
        <v>28.613499999999998</v>
      </c>
      <c r="E51" s="335" t="s">
        <v>292</v>
      </c>
      <c r="F51" s="582" t="s">
        <v>293</v>
      </c>
      <c r="G51" s="1045"/>
    </row>
    <row r="52" spans="1:7" ht="18">
      <c r="A52" s="526" t="s">
        <v>232</v>
      </c>
      <c r="B52" s="508" cm="1">
        <f t="array" ref="B52">IFERROR(INDEX(Tb_FinStor[],MATCH(A52,Tb_FinStor[Parameter],0),HLOOKUP(IF($E$13="Storage tank",$E$14,$E$14&amp;$E$17), 'Storage Data'!$C$4:$AG$5,2,FALSE)+2),"-")</f>
        <v>500000</v>
      </c>
      <c r="C52" s="124"/>
      <c r="D52" s="509">
        <f>IF(ISBLANK(C52),B52,C52)</f>
        <v>500000</v>
      </c>
      <c r="E52" s="577" t="s">
        <v>209</v>
      </c>
      <c r="F52" s="582" t="s">
        <v>294</v>
      </c>
      <c r="G52" s="1045"/>
    </row>
    <row r="53" spans="1:7" ht="18">
      <c r="A53" s="526" t="s">
        <v>233</v>
      </c>
      <c r="B53" s="508" t="str" cm="1">
        <f t="array" ref="B53">IFERROR(INDEX(Tb_FinStor[],MATCH(A53,Tb_FinStor[Parameter],0),HLOOKUP(IF($E$13="Storage tank",$E$14,$E$14&amp;$E$17), 'Storage Data'!$C$4:$AG$5,2,FALSE)+2),"-")</f>
        <v>N/D</v>
      </c>
      <c r="C53" s="124"/>
      <c r="D53" s="509" t="str">
        <f t="shared" ref="D53:D54" si="4">IF(ISBLANK(C53),B53,C53)</f>
        <v>N/D</v>
      </c>
      <c r="E53" s="335" t="s">
        <v>59</v>
      </c>
      <c r="F53" s="582" t="s">
        <v>295</v>
      </c>
      <c r="G53" s="1045"/>
    </row>
    <row r="54" spans="1:7">
      <c r="A54" s="526" t="s">
        <v>296</v>
      </c>
      <c r="B54" s="572">
        <f>IF(E13='List DB'!$Q$41,IF(D29&gt;D35, D37*(D51*((D35/D52)^D49)*((D31/D53)^D50))+(D51*((((D36-D37)*D35)/D52)^D49)*((D31/D53)^D50)), D51*((D29/D52)^D49)*((D31/D53)^D50)), IF(AND($D$29&gt;=$D$39,$D$29&lt;=$D$40), $D$51*(($D$29/$D$52)^$D$49), IF(AND($D$29&gt;$D$40, (($D$41-$D$42)*$D$40)&gt;=$D$39), $D$42*($D$51*(($D$40/$D$52)^$D$49))+($D$51*(((($D$41-$D$42)*$D$40)/$D$52)^$D$49)), IF($D$29&lt;$D$39, $D$51*(($D$39/$D$52)^$D$49), $D$51*(($D$29/$D$52)^$D$49)))))</f>
        <v>9.8840827295252911</v>
      </c>
      <c r="C54" s="207"/>
      <c r="D54" s="599">
        <f t="shared" si="4"/>
        <v>9.8840827295252911</v>
      </c>
      <c r="E54" s="415" t="s">
        <v>292</v>
      </c>
      <c r="F54" s="582"/>
      <c r="G54" s="1046"/>
    </row>
    <row r="55" spans="1:7" ht="17" thickBot="1">
      <c r="A55" s="280"/>
      <c r="B55" s="280"/>
      <c r="E55" s="280"/>
      <c r="F55" s="587"/>
      <c r="G55" s="243"/>
    </row>
    <row r="56" spans="1:7" ht="17" thickBot="1">
      <c r="A56" s="1102" t="s">
        <v>297</v>
      </c>
      <c r="B56" s="1104"/>
      <c r="C56" s="1104"/>
      <c r="D56" s="1104"/>
      <c r="E56" s="1104"/>
      <c r="F56" s="1104"/>
      <c r="G56" s="1105"/>
    </row>
    <row r="58" spans="1:7" ht="18">
      <c r="A58" s="1172" t="s">
        <v>298</v>
      </c>
      <c r="B58" s="1173"/>
      <c r="C58" s="1173"/>
      <c r="D58" s="601">
        <f>E11*((D25*1000)*(1-D23))</f>
        <v>3115062.5</v>
      </c>
      <c r="E58" s="415" t="s">
        <v>299</v>
      </c>
    </row>
    <row r="59" spans="1:7" ht="17" thickBot="1">
      <c r="A59" s="280"/>
      <c r="B59" s="280"/>
      <c r="C59" s="280"/>
      <c r="D59" s="280"/>
      <c r="E59" s="280"/>
    </row>
    <row r="60" spans="1:7" ht="19" thickBot="1">
      <c r="A60" s="1074" t="s">
        <v>300</v>
      </c>
      <c r="B60" s="1075"/>
      <c r="C60" s="1075"/>
      <c r="D60" s="602">
        <f>IF(E13='List DB'!$Q$41, ((D48+D44)*(D54*10^6))/(D58), (((D48+D44)*(D54*10^6))+D48*(((D25/(1-D33))*1000*D33)*D47))/(D58))</f>
        <v>0.37558026102074277</v>
      </c>
      <c r="E60" s="419" t="s">
        <v>75</v>
      </c>
    </row>
    <row r="62" spans="1:7">
      <c r="D62" s="173"/>
    </row>
    <row r="64" spans="1:7">
      <c r="D64" s="173"/>
    </row>
    <row r="66" spans="3:7">
      <c r="D66" s="173"/>
    </row>
    <row r="68" spans="3:7">
      <c r="C68" s="244"/>
      <c r="D68" s="173"/>
    </row>
    <row r="69" spans="3:7">
      <c r="C69" s="239"/>
      <c r="D69" s="245"/>
    </row>
    <row r="70" spans="3:7">
      <c r="C70" s="244"/>
      <c r="D70" s="173"/>
    </row>
    <row r="75" spans="3:7">
      <c r="F75" s="158"/>
    </row>
    <row r="76" spans="3:7">
      <c r="F76" s="158"/>
      <c r="G76" s="175"/>
    </row>
    <row r="77" spans="3:7">
      <c r="F77" s="158"/>
      <c r="G77" s="246"/>
    </row>
    <row r="99" spans="5:7">
      <c r="G99" s="247"/>
    </row>
    <row r="100" spans="5:7">
      <c r="F100" s="248"/>
    </row>
    <row r="101" spans="5:7">
      <c r="F101" s="248"/>
    </row>
    <row r="102" spans="5:7">
      <c r="F102" s="248"/>
    </row>
    <row r="103" spans="5:7">
      <c r="F103" s="248"/>
    </row>
    <row r="104" spans="5:7">
      <c r="F104" s="247"/>
    </row>
    <row r="105" spans="5:7">
      <c r="F105" s="248"/>
    </row>
    <row r="107" spans="5:7">
      <c r="E107" s="247"/>
    </row>
    <row r="108" spans="5:7">
      <c r="E108" s="247"/>
    </row>
    <row r="109" spans="5:7">
      <c r="E109" s="247"/>
    </row>
    <row r="110" spans="5:7">
      <c r="E110" s="247"/>
    </row>
    <row r="111" spans="5:7">
      <c r="E111" s="247"/>
    </row>
    <row r="112" spans="5:7">
      <c r="E112" s="247"/>
      <c r="F112" s="174"/>
    </row>
  </sheetData>
  <sheetProtection algorithmName="SHA-512" hashValue="khCYSZQp+m/bvV/CdU5mMvV8q4/Szgzye16LEdlev4gveiVyFVzmGEK+eCdRXERT8J4ezkKOmXy6zZhqZytdmQ==" saltValue="sSUL77EeJ/fR9sMsVrnYlw==" spinCount="100000" sheet="1" objects="1" scenarios="1"/>
  <mergeCells count="26">
    <mergeCell ref="H1:XFD1048576"/>
    <mergeCell ref="A60:C60"/>
    <mergeCell ref="A13:D13"/>
    <mergeCell ref="E13:G13"/>
    <mergeCell ref="G35:G37"/>
    <mergeCell ref="G39:G42"/>
    <mergeCell ref="A58:C58"/>
    <mergeCell ref="A17:D17"/>
    <mergeCell ref="E17:G17"/>
    <mergeCell ref="A19:G19"/>
    <mergeCell ref="A14:D14"/>
    <mergeCell ref="E14:G14"/>
    <mergeCell ref="G44:G54"/>
    <mergeCell ref="G25:G33"/>
    <mergeCell ref="A56:G56"/>
    <mergeCell ref="E15:G15"/>
    <mergeCell ref="A15:D15"/>
    <mergeCell ref="A10:D10"/>
    <mergeCell ref="E10:G10"/>
    <mergeCell ref="A11:D11"/>
    <mergeCell ref="E11:G11"/>
    <mergeCell ref="A3:G4"/>
    <mergeCell ref="A5:D6"/>
    <mergeCell ref="E5:G6"/>
    <mergeCell ref="A8:D8"/>
    <mergeCell ref="E8:G8"/>
  </mergeCells>
  <dataValidations count="1">
    <dataValidation type="list" allowBlank="1" showInputMessage="1" showErrorMessage="1" sqref="E10:G10" xr:uid="{3154D7D4-9734-421A-96AF-C44B3655764C}">
      <formula1>"Seasonal storage (1), Seasonal storage (2), Monthly storage, Weekly storage, Daily storage"</formula1>
    </dataValidation>
  </dataValidations>
  <hyperlinks>
    <hyperlink ref="A1" location="HOME!A1" display="HOME" xr:uid="{48DBBFB8-5377-4BB1-98C2-0432470FEDBA}"/>
    <hyperlink ref="H1" location="HOME!K11" display="HOME!K11" xr:uid="{3CBC1932-6942-5D4B-AC01-178B5AE15721}"/>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B84EB-AFF3-4E1C-82B9-4DD2F86E62C3}">
  <sheetPr>
    <tabColor theme="9" tint="0.79998168889431442"/>
  </sheetPr>
  <dimension ref="A1:Z81"/>
  <sheetViews>
    <sheetView topLeftCell="A40" zoomScale="66" zoomScaleNormal="55" workbookViewId="0">
      <selection activeCell="L58" sqref="L58"/>
    </sheetView>
  </sheetViews>
  <sheetFormatPr baseColWidth="10" defaultColWidth="8.83203125" defaultRowHeight="16"/>
  <cols>
    <col min="1" max="1" width="12" style="2" bestFit="1" customWidth="1"/>
    <col min="2" max="2" width="18.5" style="2" customWidth="1"/>
    <col min="3" max="3" width="16" style="2" customWidth="1"/>
    <col min="4" max="4" width="11.5" style="2" bestFit="1" customWidth="1"/>
    <col min="5" max="5" width="11" style="2" bestFit="1" customWidth="1"/>
    <col min="6" max="6" width="85.33203125" style="2" bestFit="1" customWidth="1"/>
    <col min="7" max="7" width="37.33203125" style="2" bestFit="1" customWidth="1"/>
    <col min="8" max="16384" width="8.83203125" style="2"/>
  </cols>
  <sheetData>
    <row r="1" spans="1:7">
      <c r="A1" s="213" t="s">
        <v>234</v>
      </c>
      <c r="B1" s="236"/>
      <c r="C1" s="236"/>
      <c r="D1" s="236"/>
      <c r="E1" s="236"/>
      <c r="F1" s="236"/>
      <c r="G1" s="236"/>
    </row>
    <row r="2" spans="1:7" ht="17" thickBot="1">
      <c r="A2" s="236"/>
      <c r="B2" s="236"/>
      <c r="C2" s="236"/>
      <c r="D2" s="236"/>
      <c r="E2" s="236"/>
      <c r="F2" s="236"/>
      <c r="G2" s="236"/>
    </row>
    <row r="3" spans="1:7">
      <c r="A3" s="1190" t="s">
        <v>302</v>
      </c>
      <c r="B3" s="1191"/>
      <c r="C3" s="1191"/>
      <c r="D3" s="1191"/>
      <c r="E3" s="1191"/>
      <c r="F3" s="1191"/>
      <c r="G3" s="1192"/>
    </row>
    <row r="4" spans="1:7">
      <c r="A4" s="1193"/>
      <c r="B4" s="1194"/>
      <c r="C4" s="1194"/>
      <c r="D4" s="1194"/>
      <c r="E4" s="1194"/>
      <c r="F4" s="1194"/>
      <c r="G4" s="1195"/>
    </row>
    <row r="5" spans="1:7">
      <c r="A5" s="1149">
        <f>D77</f>
        <v>1.3100406817252174E-2</v>
      </c>
      <c r="B5" s="1150"/>
      <c r="C5" s="1150"/>
      <c r="D5" s="1150"/>
      <c r="E5" s="1153" t="s">
        <v>236</v>
      </c>
      <c r="F5" s="1153"/>
      <c r="G5" s="1198"/>
    </row>
    <row r="6" spans="1:7" ht="17" thickBot="1">
      <c r="A6" s="1196"/>
      <c r="B6" s="1197"/>
      <c r="C6" s="1197"/>
      <c r="D6" s="1197"/>
      <c r="E6" s="1199"/>
      <c r="F6" s="1199"/>
      <c r="G6" s="1200"/>
    </row>
    <row r="7" spans="1:7">
      <c r="A7" s="553"/>
      <c r="B7" s="553"/>
      <c r="C7" s="553"/>
      <c r="D7" s="553"/>
      <c r="E7" s="553"/>
      <c r="F7" s="553"/>
      <c r="G7" s="553"/>
    </row>
    <row r="8" spans="1:7">
      <c r="A8" s="1157" t="s">
        <v>237</v>
      </c>
      <c r="B8" s="1158"/>
      <c r="C8" s="1158"/>
      <c r="D8" s="1158"/>
      <c r="E8" s="1159">
        <f>HOME!A9</f>
        <v>2022</v>
      </c>
      <c r="F8" s="1159"/>
      <c r="G8" s="1160"/>
    </row>
    <row r="9" spans="1:7">
      <c r="A9" s="280"/>
      <c r="B9" s="280"/>
      <c r="C9" s="280"/>
      <c r="D9" s="280"/>
      <c r="E9" s="280"/>
      <c r="F9" s="280"/>
      <c r="G9" s="280"/>
    </row>
    <row r="10" spans="1:7">
      <c r="A10" s="1167" t="s">
        <v>108</v>
      </c>
      <c r="B10" s="1168"/>
      <c r="C10" s="1168"/>
      <c r="D10" s="1168"/>
      <c r="E10" s="1169" t="str">
        <f>IF(HOME!E9="Ship",HOME!E12,"")</f>
        <v>NH3</v>
      </c>
      <c r="F10" s="1169"/>
      <c r="G10" s="1170"/>
    </row>
    <row r="11" spans="1:7">
      <c r="A11" s="1177" t="s">
        <v>241</v>
      </c>
      <c r="B11" s="1178"/>
      <c r="C11" s="1178"/>
      <c r="D11" s="1178"/>
      <c r="E11" s="1179" t="s">
        <v>147</v>
      </c>
      <c r="F11" s="1179"/>
      <c r="G11" s="1180"/>
    </row>
    <row r="12" spans="1:7">
      <c r="A12" s="280"/>
      <c r="B12" s="280"/>
      <c r="C12" s="280"/>
      <c r="D12" s="280"/>
      <c r="E12" s="280"/>
      <c r="F12" s="280"/>
      <c r="G12" s="280"/>
    </row>
    <row r="13" spans="1:7">
      <c r="A13" s="1157" t="s">
        <v>303</v>
      </c>
      <c r="B13" s="1158"/>
      <c r="C13" s="1158"/>
      <c r="D13" s="1158"/>
      <c r="E13" s="1159" t="str">
        <f>HOME!C9</f>
        <v>Spain</v>
      </c>
      <c r="F13" s="1159"/>
      <c r="G13" s="1160"/>
    </row>
    <row r="14" spans="1:7">
      <c r="A14" s="1157" t="s">
        <v>304</v>
      </c>
      <c r="B14" s="1158"/>
      <c r="C14" s="1158"/>
      <c r="D14" s="1158"/>
      <c r="E14" s="1159" t="str">
        <f>HOME!B9</f>
        <v>Spain</v>
      </c>
      <c r="F14" s="1159"/>
      <c r="G14" s="1160"/>
    </row>
    <row r="15" spans="1:7" ht="17" thickBot="1">
      <c r="A15" s="280"/>
      <c r="B15" s="280"/>
      <c r="C15" s="280"/>
      <c r="D15" s="280"/>
      <c r="E15" s="280"/>
      <c r="F15" s="280"/>
      <c r="G15" s="280"/>
    </row>
    <row r="16" spans="1:7" ht="17" thickBot="1">
      <c r="A16" s="995" t="s">
        <v>63</v>
      </c>
      <c r="B16" s="996"/>
      <c r="C16" s="996"/>
      <c r="D16" s="996"/>
      <c r="E16" s="996"/>
      <c r="F16" s="996"/>
      <c r="G16" s="1201"/>
    </row>
    <row r="17" spans="1:12">
      <c r="A17" s="556"/>
      <c r="B17" s="556"/>
      <c r="C17" s="556"/>
      <c r="D17" s="556"/>
      <c r="E17" s="556"/>
      <c r="F17" s="556"/>
      <c r="G17" s="556"/>
    </row>
    <row r="18" spans="1:12">
      <c r="A18" s="526" t="s">
        <v>154</v>
      </c>
      <c r="B18" s="526" t="s">
        <v>244</v>
      </c>
      <c r="C18" s="526" t="s">
        <v>245</v>
      </c>
      <c r="D18" s="526" t="s">
        <v>246</v>
      </c>
      <c r="E18" s="526" t="s">
        <v>247</v>
      </c>
      <c r="F18" s="603" t="s">
        <v>248</v>
      </c>
      <c r="G18" s="604"/>
    </row>
    <row r="19" spans="1:12">
      <c r="A19" s="280"/>
      <c r="B19" s="280"/>
      <c r="C19" s="280"/>
      <c r="D19" s="280"/>
      <c r="E19" s="280"/>
      <c r="F19" s="280"/>
      <c r="G19" s="280"/>
    </row>
    <row r="20" spans="1:12" ht="18">
      <c r="A20" s="526" t="s">
        <v>159</v>
      </c>
      <c r="B20" s="605" cm="1">
        <f t="array" ref="B20">IFERROR(INDEX(Tb_ExpTermStor[],MATCH(A20,Tb_ExpTermStor[Parameter],0),HLOOKUP($E$10,'Storage Data'!$AU$2:$AX$4,2,FALSE)+2),"-")</f>
        <v>4.0000000000000002E-4</v>
      </c>
      <c r="C20" s="186"/>
      <c r="D20" s="588">
        <f>IF(ISBLANK(C20),B20,C20)</f>
        <v>4.0000000000000002E-4</v>
      </c>
      <c r="E20" s="335"/>
      <c r="F20" s="614" t="s">
        <v>305</v>
      </c>
      <c r="G20" s="1187" t="s">
        <v>250</v>
      </c>
    </row>
    <row r="21" spans="1:12" ht="18">
      <c r="A21" s="526" t="s">
        <v>191</v>
      </c>
      <c r="B21" s="606">
        <f>(D20/24)*D24</f>
        <v>8.0000000000000004E-4</v>
      </c>
      <c r="C21" s="184"/>
      <c r="D21" s="598">
        <f>IF(ISBLANK(C21),B21,C21)</f>
        <v>8.0000000000000004E-4</v>
      </c>
      <c r="E21" s="415"/>
      <c r="F21" s="615" t="s">
        <v>306</v>
      </c>
      <c r="G21" s="1188"/>
    </row>
    <row r="22" spans="1:12">
      <c r="A22" s="280"/>
      <c r="B22" s="280"/>
      <c r="D22" s="280"/>
      <c r="E22" s="280"/>
      <c r="F22" s="280"/>
      <c r="G22" s="616"/>
    </row>
    <row r="23" spans="1:12" ht="18">
      <c r="A23" s="526" t="s">
        <v>307</v>
      </c>
      <c r="B23" s="607">
        <f>MAX(IF(E10="LH2",HOME!B69/8760*D24,('NH3 conversion'!$D$23/1000)/8760*D24),Shipping!D21)</f>
        <v>53000</v>
      </c>
      <c r="C23" s="185"/>
      <c r="D23" s="617">
        <f t="shared" ref="D23:D25" si="0">IF(ISBLANK(C23),B23,C23)</f>
        <v>53000</v>
      </c>
      <c r="E23" s="415" t="s">
        <v>308</v>
      </c>
      <c r="F23" s="575" t="s">
        <v>1309</v>
      </c>
      <c r="G23" s="1187" t="s">
        <v>254</v>
      </c>
      <c r="H23" s="213" t="str">
        <f>"-&gt; back"</f>
        <v>-&gt; back</v>
      </c>
    </row>
    <row r="24" spans="1:12" ht="18">
      <c r="A24" s="526" t="s">
        <v>309</v>
      </c>
      <c r="B24" s="607">
        <f>Shipping!D30</f>
        <v>48</v>
      </c>
      <c r="C24" s="185"/>
      <c r="D24" s="617">
        <f t="shared" si="0"/>
        <v>48</v>
      </c>
      <c r="E24" s="415" t="s">
        <v>256</v>
      </c>
      <c r="F24" s="575" t="s">
        <v>310</v>
      </c>
      <c r="G24" s="1189"/>
      <c r="H24" s="213"/>
    </row>
    <row r="25" spans="1:12" ht="18">
      <c r="A25" s="526" t="s">
        <v>311</v>
      </c>
      <c r="B25" s="607">
        <f>ROUNDDOWN(1/(D24/8760),0)</f>
        <v>182</v>
      </c>
      <c r="C25" s="185"/>
      <c r="D25" s="617">
        <f t="shared" si="0"/>
        <v>182</v>
      </c>
      <c r="E25" s="415"/>
      <c r="F25" s="575" t="s">
        <v>312</v>
      </c>
      <c r="G25" s="1189"/>
      <c r="H25" s="213"/>
    </row>
    <row r="26" spans="1:12" ht="18">
      <c r="A26" s="563" t="s">
        <v>189</v>
      </c>
      <c r="B26" s="608" cm="1">
        <f t="array" ref="B26">IFERROR(INDEX(Tb_ExpTermStor[],MATCH(A26,Tb_ExpTermStor[Parameter],0),HLOOKUP($E$10,'Storage Data'!$AU$2:$AX$4,2,FALSE)+2),"-")</f>
        <v>1</v>
      </c>
      <c r="C26" s="124"/>
      <c r="D26" s="591">
        <f t="shared" ref="D26:D27" si="1">IF(ISBLANK(C26),B26,C26)</f>
        <v>1</v>
      </c>
      <c r="E26" s="577" t="s">
        <v>59</v>
      </c>
      <c r="F26" s="575"/>
      <c r="G26" s="1189"/>
    </row>
    <row r="27" spans="1:12" ht="18">
      <c r="A27" s="609" t="s">
        <v>193</v>
      </c>
      <c r="B27" s="608" cm="1">
        <f t="array" ref="B27">IFERROR(INDEX(Tb_ExpTermStor[],MATCH(A27,Tb_ExpTermStor[Parameter],0),HLOOKUP($E$10,'Storage Data'!$AU$2:$AX$4,2,FALSE)+2),"-")</f>
        <v>-33</v>
      </c>
      <c r="C27" s="124"/>
      <c r="D27" s="591">
        <f t="shared" si="1"/>
        <v>-33</v>
      </c>
      <c r="E27" s="333" t="s">
        <v>200</v>
      </c>
      <c r="F27" s="575"/>
      <c r="G27" s="1188"/>
    </row>
    <row r="28" spans="1:12">
      <c r="A28" s="566"/>
      <c r="B28" s="610"/>
      <c r="C28" s="239"/>
      <c r="D28" s="593"/>
      <c r="E28" s="579"/>
      <c r="F28" s="580"/>
      <c r="G28" s="616"/>
      <c r="J28" s="249"/>
      <c r="L28" s="208"/>
    </row>
    <row r="29" spans="1:12" ht="18">
      <c r="A29" s="526" t="s">
        <v>197</v>
      </c>
      <c r="B29" s="611" cm="1">
        <f t="array" ref="B29">IFERROR(INDEX(Tb_ExpTermStor[],MATCH(A29,Tb_ExpTermStor[Parameter],0),HLOOKUP($E$10,'Storage Data'!$AU$2:$AX$4,2,FALSE)+2),"-")</f>
        <v>50000</v>
      </c>
      <c r="C29" s="183"/>
      <c r="D29" s="594">
        <f>IF(ISBLANK(C29),B29,C29)</f>
        <v>50000</v>
      </c>
      <c r="E29" s="581" t="s">
        <v>198</v>
      </c>
      <c r="F29" s="582" t="s">
        <v>313</v>
      </c>
      <c r="G29" s="1187" t="s">
        <v>268</v>
      </c>
    </row>
    <row r="30" spans="1:12" ht="18">
      <c r="A30" s="563" t="s">
        <v>269</v>
      </c>
      <c r="B30" s="612">
        <f>D23/D29</f>
        <v>1.06</v>
      </c>
      <c r="C30" s="124"/>
      <c r="D30" s="595">
        <f t="shared" ref="D30:D31" si="2">IF(ISBLANK(C30),B30,C30)</f>
        <v>1.06</v>
      </c>
      <c r="E30" s="576"/>
      <c r="F30" s="575" t="s">
        <v>270</v>
      </c>
      <c r="G30" s="1189"/>
    </row>
    <row r="31" spans="1:12" ht="18">
      <c r="A31" s="563" t="s">
        <v>271</v>
      </c>
      <c r="B31" s="612">
        <f>ROUNDDOWN(D23/D29, 0)</f>
        <v>1</v>
      </c>
      <c r="C31" s="124"/>
      <c r="D31" s="595">
        <f t="shared" si="2"/>
        <v>1</v>
      </c>
      <c r="E31" s="576"/>
      <c r="F31" s="575" t="s">
        <v>272</v>
      </c>
      <c r="G31" s="1188"/>
    </row>
    <row r="32" spans="1:12">
      <c r="A32" s="280"/>
      <c r="B32" s="280"/>
      <c r="D32" s="280"/>
      <c r="E32" s="280" t="s">
        <v>280</v>
      </c>
      <c r="F32" s="280"/>
      <c r="G32" s="280"/>
    </row>
    <row r="33" spans="1:26" ht="18">
      <c r="A33" s="526" t="s">
        <v>202</v>
      </c>
      <c r="B33" s="506" cm="1">
        <f t="array" ref="B33">IFERROR(INDEX(Tb_ExpTermStor[],MATCH(A33,Tb_ExpTermStor[Parameter],0),HLOOKUP($E$10,'Storage Data'!$AU$2:$AX$4,2,FALSE)+2),"-")</f>
        <v>0.04</v>
      </c>
      <c r="C33" s="130"/>
      <c r="D33" s="512">
        <f t="shared" ref="D33:D38" si="3">IF(ISBLANK(C33),B33,C33)</f>
        <v>0.04</v>
      </c>
      <c r="E33" s="581"/>
      <c r="F33" s="582" t="s">
        <v>281</v>
      </c>
      <c r="G33" s="1187" t="s">
        <v>282</v>
      </c>
    </row>
    <row r="34" spans="1:26" ht="18">
      <c r="A34" s="571" t="s">
        <v>206</v>
      </c>
      <c r="B34" s="508" cm="1">
        <f t="array" ref="B34">IFERROR(INDEX(Tb_ExpTermStor[],MATCH(A34,Tb_ExpTermStor[Parameter],0),HLOOKUP($E$10,'Storage Data'!$AU$2:$AX$4,2,FALSE)+2),"-")</f>
        <v>30</v>
      </c>
      <c r="C34" s="125"/>
      <c r="D34" s="509">
        <f t="shared" si="3"/>
        <v>30</v>
      </c>
      <c r="E34" s="581" t="s">
        <v>207</v>
      </c>
      <c r="F34" s="585" t="s">
        <v>283</v>
      </c>
      <c r="G34" s="1189"/>
    </row>
    <row r="35" spans="1:26">
      <c r="A35" s="526" t="s">
        <v>211</v>
      </c>
      <c r="B35" s="506" cm="1">
        <f t="array" ref="B35">IFERROR((INDEX(Tb_ExpTermStor[],MATCH(A35,Tb_ExpTermStor[Parameter],0),HLOOKUP($E$10,'Storage Data'!$AU$2:$AX$4,2,FALSE)+2)+1)/(1+'General values'!R9)-1,"-")</f>
        <v>6.1086139562302133E-2</v>
      </c>
      <c r="C35" s="130"/>
      <c r="D35" s="512">
        <f t="shared" si="3"/>
        <v>6.1086139562302133E-2</v>
      </c>
      <c r="E35" s="581"/>
      <c r="F35" s="582" t="s">
        <v>284</v>
      </c>
      <c r="G35" s="1189"/>
    </row>
    <row r="36" spans="1:26" ht="18">
      <c r="A36" s="526" t="s">
        <v>288</v>
      </c>
      <c r="B36" s="613">
        <f>D35/(1-((D35+1)^(-D34)))</f>
        <v>7.3495228474659821E-2</v>
      </c>
      <c r="C36" s="130"/>
      <c r="D36" s="618">
        <f t="shared" si="3"/>
        <v>7.3495228474659821E-2</v>
      </c>
      <c r="E36" s="586"/>
      <c r="F36" s="582" t="s">
        <v>289</v>
      </c>
      <c r="G36" s="1189"/>
    </row>
    <row r="37" spans="1:26" ht="18">
      <c r="A37" s="526" t="s">
        <v>215</v>
      </c>
      <c r="B37" s="508" cm="1">
        <f t="array" ref="B37">IFERROR(INDEX(Tb_ExpTermStor[],MATCH(A37,Tb_ExpTermStor[Parameter],0),HLOOKUP($E$10,'Storage Data'!$AU$2:$AX$4,2,FALSE)+2),"-")</f>
        <v>1</v>
      </c>
      <c r="C37" s="124"/>
      <c r="D37" s="509">
        <f t="shared" si="3"/>
        <v>1</v>
      </c>
      <c r="E37" s="335"/>
      <c r="F37" s="582" t="s">
        <v>290</v>
      </c>
      <c r="G37" s="1189"/>
      <c r="Z37" s="237"/>
    </row>
    <row r="38" spans="1:26" ht="18">
      <c r="A38" s="526" t="s">
        <v>219</v>
      </c>
      <c r="B38" s="508" cm="1">
        <f t="array" ref="B38">IFERROR(INDEX(Tb_ExpTermStor[],MATCH(A38,Tb_ExpTermStor[Parameter],0),HLOOKUP($E$10,'Storage Data'!$AU$2:$AX$4,2,FALSE)+2),"-")</f>
        <v>68</v>
      </c>
      <c r="C38" s="124"/>
      <c r="D38" s="509">
        <f t="shared" si="3"/>
        <v>68</v>
      </c>
      <c r="E38" s="335" t="s">
        <v>292</v>
      </c>
      <c r="F38" s="582" t="s">
        <v>314</v>
      </c>
      <c r="G38" s="1189"/>
    </row>
    <row r="39" spans="1:26" ht="18">
      <c r="A39" s="526" t="s">
        <v>223</v>
      </c>
      <c r="B39" s="508" cm="1">
        <f t="array" ref="B39">IFERROR(INDEX(Tb_ExpTermStor[],MATCH(A39,Tb_ExpTermStor[Parameter],0),HLOOKUP($E$10,'Storage Data'!$AU$2:$AX$4,2,FALSE)+2),"-")</f>
        <v>34100</v>
      </c>
      <c r="C39" s="124"/>
      <c r="D39" s="509">
        <f>IF(ISBLANK(C39),B39,C39)</f>
        <v>34100</v>
      </c>
      <c r="E39" s="577" t="s">
        <v>198</v>
      </c>
      <c r="F39" s="582" t="s">
        <v>315</v>
      </c>
      <c r="G39" s="1189"/>
    </row>
    <row r="40" spans="1:26">
      <c r="A40" s="526" t="s">
        <v>296</v>
      </c>
      <c r="B40" s="572">
        <f>IF(D23&gt;D29, D31*(D38*((D29/D39)^D37))+(D38*((((D30-D31)*D29)/D39)^D37)), D38*((D23/D39)^D37))</f>
        <v>105.6891495601173</v>
      </c>
      <c r="C40" s="124"/>
      <c r="D40" s="599">
        <f t="shared" ref="D40" si="4">IF(ISBLANK(C40),B40,C40)</f>
        <v>105.6891495601173</v>
      </c>
      <c r="E40" s="415" t="s">
        <v>292</v>
      </c>
      <c r="F40" s="582"/>
      <c r="G40" s="1188"/>
    </row>
    <row r="41" spans="1:26">
      <c r="A41" s="280"/>
      <c r="B41" s="280"/>
      <c r="G41" s="237"/>
    </row>
    <row r="42" spans="1:26">
      <c r="A42" s="1172" t="s">
        <v>316</v>
      </c>
      <c r="B42" s="1173"/>
      <c r="C42" s="1173"/>
      <c r="D42" s="601">
        <f>IF(E10="LH2", D23*(1-D21), (D23*0.1765)*(1-D21))</f>
        <v>9347.0164000000004</v>
      </c>
      <c r="E42" s="415" t="s">
        <v>198</v>
      </c>
      <c r="F42" s="280"/>
      <c r="G42" s="616"/>
    </row>
    <row r="43" spans="1:26">
      <c r="A43" s="1172" t="s">
        <v>298</v>
      </c>
      <c r="B43" s="1173"/>
      <c r="C43" s="1173"/>
      <c r="D43" s="601">
        <f>D25*D42</f>
        <v>1701156.9848</v>
      </c>
      <c r="E43" s="415" t="s">
        <v>198</v>
      </c>
      <c r="F43" s="280"/>
      <c r="G43" s="616"/>
    </row>
    <row r="44" spans="1:26" ht="17" thickBot="1">
      <c r="A44" s="280"/>
      <c r="B44" s="280"/>
      <c r="C44" s="280"/>
      <c r="D44" s="280"/>
      <c r="E44" s="280"/>
      <c r="F44" s="280"/>
      <c r="G44" s="616"/>
    </row>
    <row r="45" spans="1:26" ht="17" thickBot="1">
      <c r="A45" s="995" t="s">
        <v>64</v>
      </c>
      <c r="B45" s="996"/>
      <c r="C45" s="996"/>
      <c r="D45" s="996"/>
      <c r="E45" s="996"/>
      <c r="F45" s="996"/>
      <c r="G45" s="997"/>
    </row>
    <row r="47" spans="1:26">
      <c r="A47" s="526" t="s">
        <v>154</v>
      </c>
      <c r="B47" s="526" t="s">
        <v>244</v>
      </c>
      <c r="C47" s="526" t="s">
        <v>245</v>
      </c>
      <c r="D47" s="526" t="s">
        <v>246</v>
      </c>
      <c r="E47" s="526" t="s">
        <v>247</v>
      </c>
      <c r="F47" s="603" t="s">
        <v>248</v>
      </c>
      <c r="G47" s="604"/>
    </row>
    <row r="48" spans="1:26">
      <c r="A48" s="280"/>
      <c r="B48" s="280"/>
      <c r="D48" s="280"/>
      <c r="E48" s="280"/>
      <c r="F48" s="280"/>
      <c r="G48" s="280"/>
    </row>
    <row r="49" spans="1:11" ht="18">
      <c r="A49" s="526" t="s">
        <v>159</v>
      </c>
      <c r="B49" s="627" cm="1">
        <f t="array" ref="B49">IFERROR(INDEX(Tb_ImpTermStor[],MATCH(A49,Tb_ImpTermStor[Parameter],0),HLOOKUP($E$10,'Storage Data'!$AM$2:$AP$4,2,FALSE)+2),"-")</f>
        <v>4.0000000000000002E-4</v>
      </c>
      <c r="C49" s="132"/>
      <c r="D49" s="623">
        <f>IF(ISBLANK(C49),B49,C49)</f>
        <v>4.0000000000000002E-4</v>
      </c>
      <c r="E49" s="335"/>
      <c r="F49" s="575" t="s">
        <v>305</v>
      </c>
      <c r="G49" s="1187" t="s">
        <v>250</v>
      </c>
      <c r="K49" s="239"/>
    </row>
    <row r="50" spans="1:11" ht="18">
      <c r="A50" s="526" t="s">
        <v>191</v>
      </c>
      <c r="B50" s="628">
        <f>(D49/24)*D53</f>
        <v>8.0000000000000004E-4</v>
      </c>
      <c r="C50" s="191"/>
      <c r="D50" s="624">
        <f>IF(ISBLANK(C50),B50,C50)</f>
        <v>8.0000000000000004E-4</v>
      </c>
      <c r="E50" s="415"/>
      <c r="F50" s="574" t="s">
        <v>317</v>
      </c>
      <c r="G50" s="1188"/>
    </row>
    <row r="51" spans="1:11">
      <c r="A51" s="280"/>
      <c r="B51" s="280"/>
      <c r="D51" s="280"/>
      <c r="E51" s="280"/>
      <c r="F51" s="280"/>
      <c r="G51" s="616"/>
    </row>
    <row r="52" spans="1:11" ht="18">
      <c r="A52" s="526" t="s">
        <v>307</v>
      </c>
      <c r="B52" s="607">
        <f>Shipping!D21</f>
        <v>53000</v>
      </c>
      <c r="C52" s="192"/>
      <c r="D52" s="600">
        <f>IF(ISBLANK(C52),B52,C52)</f>
        <v>53000</v>
      </c>
      <c r="E52" s="415" t="s">
        <v>308</v>
      </c>
      <c r="F52" s="575" t="s">
        <v>318</v>
      </c>
      <c r="G52" s="1187" t="s">
        <v>254</v>
      </c>
      <c r="H52" s="213" t="str">
        <f>"-&gt; back"</f>
        <v>-&gt; back</v>
      </c>
    </row>
    <row r="53" spans="1:11" ht="18">
      <c r="A53" s="526" t="s">
        <v>309</v>
      </c>
      <c r="B53" s="607">
        <f>Shipping!D30</f>
        <v>48</v>
      </c>
      <c r="C53" s="192"/>
      <c r="D53" s="625">
        <f t="shared" ref="D53:D54" si="5">IF(ISBLANK(C53),B53,C53)</f>
        <v>48</v>
      </c>
      <c r="E53" s="415" t="s">
        <v>256</v>
      </c>
      <c r="F53" s="575" t="s">
        <v>319</v>
      </c>
      <c r="G53" s="1189"/>
      <c r="H53" s="213"/>
    </row>
    <row r="54" spans="1:11" ht="18">
      <c r="A54" s="526" t="s">
        <v>311</v>
      </c>
      <c r="B54" s="607">
        <f>ROUNDDOWN(1/(D53/8760),0)</f>
        <v>182</v>
      </c>
      <c r="C54" s="192"/>
      <c r="D54" s="600">
        <f t="shared" si="5"/>
        <v>182</v>
      </c>
      <c r="E54" s="415"/>
      <c r="F54" s="575" t="s">
        <v>312</v>
      </c>
      <c r="G54" s="1189"/>
      <c r="H54" s="213"/>
    </row>
    <row r="55" spans="1:11" ht="18">
      <c r="A55" s="563" t="s">
        <v>189</v>
      </c>
      <c r="B55" s="564" cm="1">
        <f t="array" ref="B55">IFERROR(INDEX(Tb_ImpTermStor[],MATCH(A55,Tb_ImpTermStor[Parameter],0),HLOOKUP($E$10,'Storage Data'!$AM$2:$AP$4,2,FALSE)+2),"-")</f>
        <v>1</v>
      </c>
      <c r="C55" s="124"/>
      <c r="D55" s="626">
        <f t="shared" ref="D55:D56" si="6">IF(ISBLANK(C55),B55,C55)</f>
        <v>1</v>
      </c>
      <c r="E55" s="577" t="s">
        <v>59</v>
      </c>
      <c r="F55" s="575"/>
      <c r="G55" s="1189"/>
    </row>
    <row r="56" spans="1:11" ht="18">
      <c r="A56" s="609" t="s">
        <v>193</v>
      </c>
      <c r="B56" s="564" cm="1">
        <f t="array" ref="B56">IFERROR(INDEX(Tb_ImpTermStor[],MATCH(A56,Tb_ImpTermStor[Parameter],0),HLOOKUP($E$10,'Storage Data'!$AM$2:$AP$4,2,FALSE)+2),"-")</f>
        <v>-33</v>
      </c>
      <c r="C56" s="124"/>
      <c r="D56" s="626">
        <f t="shared" si="6"/>
        <v>-33</v>
      </c>
      <c r="E56" s="333" t="s">
        <v>200</v>
      </c>
      <c r="F56" s="575"/>
      <c r="G56" s="1188"/>
    </row>
    <row r="57" spans="1:11">
      <c r="A57" s="566"/>
      <c r="B57" s="567"/>
      <c r="C57" s="239"/>
      <c r="D57" s="593"/>
      <c r="E57" s="579"/>
      <c r="F57" s="580"/>
      <c r="G57" s="616"/>
    </row>
    <row r="58" spans="1:11" ht="18">
      <c r="A58" s="526" t="s">
        <v>197</v>
      </c>
      <c r="B58" s="508" cm="1">
        <f t="array" ref="B58">IFERROR(INDEX(Tb_ImpTermStor[],MATCH(A58,Tb_ImpTermStor[Parameter],0),HLOOKUP($E$10,'Storage Data'!$AM$2:$AP$4,2,FALSE)+2),"-")</f>
        <v>50000</v>
      </c>
      <c r="C58" s="183"/>
      <c r="D58" s="594">
        <f>IF(ISBLANK(C58),B58,C58)</f>
        <v>50000</v>
      </c>
      <c r="E58" s="581" t="s">
        <v>198</v>
      </c>
      <c r="F58" s="582" t="s">
        <v>313</v>
      </c>
      <c r="G58" s="1187" t="s">
        <v>268</v>
      </c>
    </row>
    <row r="59" spans="1:11" ht="18">
      <c r="A59" s="563" t="s">
        <v>269</v>
      </c>
      <c r="B59" s="562">
        <f>D52/D58</f>
        <v>1.06</v>
      </c>
      <c r="C59" s="124"/>
      <c r="D59" s="595">
        <f t="shared" ref="D59:D60" si="7">IF(ISBLANK(C59),B59,C59)</f>
        <v>1.06</v>
      </c>
      <c r="E59" s="576"/>
      <c r="F59" s="575" t="s">
        <v>270</v>
      </c>
      <c r="G59" s="1189"/>
    </row>
    <row r="60" spans="1:11" ht="18">
      <c r="A60" s="563" t="s">
        <v>271</v>
      </c>
      <c r="B60" s="562">
        <f>ROUNDDOWN(D52/D58, 0)</f>
        <v>1</v>
      </c>
      <c r="C60" s="124"/>
      <c r="D60" s="595">
        <f t="shared" si="7"/>
        <v>1</v>
      </c>
      <c r="E60" s="576"/>
      <c r="F60" s="575" t="s">
        <v>272</v>
      </c>
      <c r="G60" s="1188"/>
    </row>
    <row r="61" spans="1:11">
      <c r="A61" s="568"/>
      <c r="B61" s="569"/>
      <c r="C61" s="241"/>
      <c r="D61" s="596"/>
      <c r="E61" s="583"/>
      <c r="F61" s="584"/>
      <c r="G61" s="622"/>
    </row>
    <row r="62" spans="1:11">
      <c r="A62" s="280"/>
      <c r="B62" s="280"/>
      <c r="D62" s="280"/>
      <c r="E62" s="280" t="s">
        <v>280</v>
      </c>
      <c r="F62" s="280"/>
      <c r="G62" s="280"/>
    </row>
    <row r="63" spans="1:11" ht="18">
      <c r="A63" s="526" t="s">
        <v>202</v>
      </c>
      <c r="B63" s="506" cm="1">
        <f t="array" ref="B63">IFERROR(INDEX(Tb_ImpTermStor[],MATCH(A63,Tb_ImpTermStor[Parameter],0),HLOOKUP($E$10,'Storage Data'!$AM$2:$AP$4,2,FALSE)+2),"-")</f>
        <v>0.04</v>
      </c>
      <c r="C63" s="130"/>
      <c r="D63" s="512">
        <f t="shared" ref="D63:D68" si="8">IF(ISBLANK(C63),B63,C63)</f>
        <v>0.04</v>
      </c>
      <c r="E63" s="581"/>
      <c r="F63" s="582" t="s">
        <v>281</v>
      </c>
      <c r="G63" s="1187" t="s">
        <v>282</v>
      </c>
    </row>
    <row r="64" spans="1:11" ht="18">
      <c r="A64" s="571" t="s">
        <v>206</v>
      </c>
      <c r="B64" s="508" cm="1">
        <f t="array" ref="B64">IFERROR(INDEX(Tb_ImpTermStor[],MATCH(A64,Tb_ImpTermStor[Parameter],0),HLOOKUP($E$10,'Storage Data'!$AM$2:$AP$4,2,FALSE)+2),"-")</f>
        <v>30</v>
      </c>
      <c r="C64" s="125"/>
      <c r="D64" s="509">
        <f t="shared" si="8"/>
        <v>30</v>
      </c>
      <c r="E64" s="581" t="s">
        <v>207</v>
      </c>
      <c r="F64" s="585" t="s">
        <v>283</v>
      </c>
      <c r="G64" s="1189"/>
    </row>
    <row r="65" spans="1:7">
      <c r="A65" s="526" t="s">
        <v>211</v>
      </c>
      <c r="B65" s="506" cm="1">
        <f t="array" ref="B65">IFERROR((INDEX(Tb_ImpTermStor[],MATCH(A65,Tb_ImpTermStor[Parameter],0),HLOOKUP($E$10,'Storage Data'!$AM$2:$AP$4,2,FALSE)+2)+1)/(1+'General values'!R9)-1,"-")</f>
        <v>6.1086139562302133E-2</v>
      </c>
      <c r="C65" s="130"/>
      <c r="D65" s="512">
        <f t="shared" si="8"/>
        <v>6.1086139562302133E-2</v>
      </c>
      <c r="E65" s="581"/>
      <c r="F65" s="582" t="s">
        <v>284</v>
      </c>
      <c r="G65" s="1189"/>
    </row>
    <row r="66" spans="1:7" ht="18">
      <c r="A66" s="526" t="s">
        <v>288</v>
      </c>
      <c r="B66" s="613">
        <f>D65/(1-((D65+1)^(-D64)))</f>
        <v>7.3495228474659821E-2</v>
      </c>
      <c r="C66" s="130"/>
      <c r="D66" s="618">
        <f t="shared" si="8"/>
        <v>7.3495228474659821E-2</v>
      </c>
      <c r="E66" s="586"/>
      <c r="F66" s="582" t="s">
        <v>289</v>
      </c>
      <c r="G66" s="1189"/>
    </row>
    <row r="67" spans="1:7" ht="18">
      <c r="A67" s="526" t="s">
        <v>215</v>
      </c>
      <c r="B67" s="508" cm="1">
        <f t="array" ref="B67">IFERROR(INDEX(Tb_ImpTermStor[],MATCH(A67,Tb_ImpTermStor[Parameter],0),HLOOKUP($E$10,'Storage Data'!$AM$2:$AP$4,2,FALSE)+2),"-")</f>
        <v>1</v>
      </c>
      <c r="C67" s="124"/>
      <c r="D67" s="509">
        <f t="shared" si="8"/>
        <v>1</v>
      </c>
      <c r="E67" s="335"/>
      <c r="F67" s="582" t="s">
        <v>290</v>
      </c>
      <c r="G67" s="1189"/>
    </row>
    <row r="68" spans="1:7" ht="18">
      <c r="A68" s="526" t="s">
        <v>219</v>
      </c>
      <c r="B68" s="508" cm="1">
        <f t="array" ref="B68">IFERROR(INDEX(Tb_ImpTermStor[],MATCH(A68,Tb_ImpTermStor[Parameter],0),HLOOKUP($E$10,'Storage Data'!$AM$2:$AP$4,2,FALSE)+2),"-")</f>
        <v>97</v>
      </c>
      <c r="C68" s="124"/>
      <c r="D68" s="509">
        <f t="shared" si="8"/>
        <v>97</v>
      </c>
      <c r="E68" s="335" t="s">
        <v>292</v>
      </c>
      <c r="F68" s="582" t="s">
        <v>314</v>
      </c>
      <c r="G68" s="1189"/>
    </row>
    <row r="69" spans="1:7" ht="18">
      <c r="A69" s="526" t="s">
        <v>223</v>
      </c>
      <c r="B69" s="508" cm="1">
        <f t="array" ref="B69">IFERROR(INDEX(Tb_ImpTermStor[],MATCH(A69,Tb_ImpTermStor[Parameter],0),HLOOKUP($E$10,'Storage Data'!$AM$2:$AP$4,2,FALSE)+2),"-")</f>
        <v>56700</v>
      </c>
      <c r="C69" s="124"/>
      <c r="D69" s="509">
        <f>IF(ISBLANK(C69),B69,C69)</f>
        <v>56700</v>
      </c>
      <c r="E69" s="577" t="s">
        <v>198</v>
      </c>
      <c r="F69" s="582" t="s">
        <v>315</v>
      </c>
      <c r="G69" s="1189"/>
    </row>
    <row r="70" spans="1:7">
      <c r="A70" s="526" t="s">
        <v>296</v>
      </c>
      <c r="B70" s="572">
        <f>IF(D52&gt;D58, D60*(D68*((D58/D69)^D67))+(D68*((((D59-D60)*D58)/D69)^D67)), D68*((D52/D69)^D67))</f>
        <v>90.670194003527342</v>
      </c>
      <c r="C70" s="124"/>
      <c r="D70" s="599">
        <f t="shared" ref="D70" si="9">IF(ISBLANK(C70),B70,C70)</f>
        <v>90.670194003527342</v>
      </c>
      <c r="E70" s="415" t="s">
        <v>292</v>
      </c>
      <c r="F70" s="582"/>
      <c r="G70" s="1188"/>
    </row>
    <row r="71" spans="1:7">
      <c r="D71" s="280"/>
      <c r="E71" s="280"/>
    </row>
    <row r="72" spans="1:7">
      <c r="A72" s="1172" t="s">
        <v>316</v>
      </c>
      <c r="B72" s="1173"/>
      <c r="C72" s="1173"/>
      <c r="D72" s="601">
        <f>IF(E10="LH2", D52*(1-D50), (D52*0.1765)*(1-D50))</f>
        <v>9347.0164000000004</v>
      </c>
      <c r="E72" s="415" t="s">
        <v>198</v>
      </c>
    </row>
    <row r="73" spans="1:7">
      <c r="A73" s="1172" t="s">
        <v>298</v>
      </c>
      <c r="B73" s="1173"/>
      <c r="C73" s="1173"/>
      <c r="D73" s="601">
        <f>D54*D72</f>
        <v>1701156.9848</v>
      </c>
      <c r="E73" s="415" t="s">
        <v>198</v>
      </c>
    </row>
    <row r="74" spans="1:7" ht="17" thickBot="1">
      <c r="A74" s="280"/>
      <c r="B74" s="280"/>
      <c r="C74" s="280"/>
      <c r="D74" s="280"/>
      <c r="E74" s="280"/>
    </row>
    <row r="75" spans="1:7" ht="17" thickBot="1">
      <c r="A75" s="995" t="s">
        <v>297</v>
      </c>
      <c r="B75" s="996"/>
      <c r="C75" s="996"/>
      <c r="D75" s="996"/>
      <c r="E75" s="996"/>
      <c r="F75" s="996"/>
      <c r="G75" s="997"/>
    </row>
    <row r="76" spans="1:7" ht="17" thickBot="1">
      <c r="A76" s="280"/>
      <c r="B76" s="280"/>
      <c r="C76" s="280"/>
      <c r="D76" s="280"/>
      <c r="E76" s="280"/>
      <c r="F76" s="280"/>
      <c r="G76" s="280"/>
    </row>
    <row r="77" spans="1:7" ht="19" thickBot="1">
      <c r="A77" s="1074" t="s">
        <v>320</v>
      </c>
      <c r="B77" s="1075"/>
      <c r="C77" s="1075"/>
      <c r="D77" s="619">
        <f>D80+D79</f>
        <v>1.3100406817252174E-2</v>
      </c>
      <c r="E77" s="620" t="s">
        <v>75</v>
      </c>
      <c r="F77" s="280"/>
      <c r="G77" s="280"/>
    </row>
    <row r="78" spans="1:7">
      <c r="A78" s="1183" t="s">
        <v>321</v>
      </c>
      <c r="B78" s="1184"/>
      <c r="C78" s="1184"/>
      <c r="D78" s="1184"/>
      <c r="E78" s="1185"/>
      <c r="F78" s="280"/>
      <c r="G78" s="280"/>
    </row>
    <row r="79" spans="1:7" ht="18">
      <c r="A79" s="1186" t="s">
        <v>322</v>
      </c>
      <c r="B79" s="1081"/>
      <c r="C79" s="1081"/>
      <c r="D79" s="414">
        <f>((D36+D33)*(D40*(10^6)))/(D43*1000)</f>
        <v>7.0512094320491232E-3</v>
      </c>
      <c r="E79" s="621" t="s">
        <v>75</v>
      </c>
      <c r="F79" s="280"/>
      <c r="G79" s="280"/>
    </row>
    <row r="80" spans="1:7" ht="19" thickBot="1">
      <c r="A80" s="1069" t="s">
        <v>323</v>
      </c>
      <c r="B80" s="1070"/>
      <c r="C80" s="1070"/>
      <c r="D80" s="422">
        <f>((D66+D63)*(D70*(10^6)))/(D73*1000)</f>
        <v>6.0491973852030518E-3</v>
      </c>
      <c r="E80" s="423" t="s">
        <v>75</v>
      </c>
      <c r="F80" s="280"/>
      <c r="G80" s="280"/>
    </row>
    <row r="81" spans="1:7">
      <c r="A81" s="280"/>
      <c r="B81" s="280"/>
      <c r="C81" s="280"/>
      <c r="D81" s="280"/>
      <c r="E81" s="280"/>
      <c r="F81" s="280"/>
      <c r="G81" s="280"/>
    </row>
  </sheetData>
  <sheetProtection algorithmName="SHA-512" hashValue="mNHMAJRa8+Ingm2Edxf8/n6+1OBlgdCZGPc8BvGk/uxNu2aqzgOmxDZQx8Jek6iUOAPkPm74qOPbSCUGr1yIqA==" saltValue="Fquh1cXZJCpIAtIMp/qOqQ==" spinCount="100000" sheet="1" objects="1" scenarios="1"/>
  <mergeCells count="32">
    <mergeCell ref="A11:D11"/>
    <mergeCell ref="E11:G11"/>
    <mergeCell ref="A14:D14"/>
    <mergeCell ref="E14:G14"/>
    <mergeCell ref="A16:G16"/>
    <mergeCell ref="A13:D13"/>
    <mergeCell ref="E13:G13"/>
    <mergeCell ref="A10:D10"/>
    <mergeCell ref="E10:G10"/>
    <mergeCell ref="A3:G4"/>
    <mergeCell ref="A5:D6"/>
    <mergeCell ref="E5:G6"/>
    <mergeCell ref="A8:D8"/>
    <mergeCell ref="E8:G8"/>
    <mergeCell ref="G20:G21"/>
    <mergeCell ref="G29:G31"/>
    <mergeCell ref="A42:C42"/>
    <mergeCell ref="A77:C77"/>
    <mergeCell ref="G49:G50"/>
    <mergeCell ref="G63:G70"/>
    <mergeCell ref="G33:G40"/>
    <mergeCell ref="A72:C72"/>
    <mergeCell ref="G58:G60"/>
    <mergeCell ref="A43:C43"/>
    <mergeCell ref="A73:C73"/>
    <mergeCell ref="G23:G27"/>
    <mergeCell ref="G52:G56"/>
    <mergeCell ref="A78:E78"/>
    <mergeCell ref="A80:C80"/>
    <mergeCell ref="A79:C79"/>
    <mergeCell ref="A45:G45"/>
    <mergeCell ref="A75:G75"/>
  </mergeCells>
  <hyperlinks>
    <hyperlink ref="H52" location="HOME!J11" display="HOME!J11" xr:uid="{26C4168C-16CC-5542-BE2B-90EDFAEC2A32}"/>
    <hyperlink ref="H23" location="HOME!I11" display="HOME!I11" xr:uid="{871383F1-8D48-FE4C-AD8A-4EE45D95E27C}"/>
    <hyperlink ref="A1" location="HOME!A1" display="HOME" xr:uid="{2F6A9BDC-7268-47BF-8927-4F3A48954C2D}"/>
  </hyperlinks>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1492-9904-4848-9EF1-71B94D2F638E}">
  <sheetPr>
    <tabColor theme="9" tint="0.59999389629810485"/>
  </sheetPr>
  <dimension ref="A1:AX36"/>
  <sheetViews>
    <sheetView zoomScale="80" zoomScaleNormal="70" zoomScaleSheetLayoutView="50" workbookViewId="0">
      <selection activeCell="K11" sqref="K11"/>
    </sheetView>
  </sheetViews>
  <sheetFormatPr baseColWidth="10" defaultColWidth="8.83203125" defaultRowHeight="16"/>
  <cols>
    <col min="1" max="1" width="12.5" style="2" bestFit="1" customWidth="1"/>
    <col min="2" max="2" width="17" style="2" bestFit="1" customWidth="1"/>
    <col min="3" max="3" width="21" style="2" customWidth="1"/>
    <col min="4" max="4" width="23.5" style="2" customWidth="1"/>
    <col min="5" max="5" width="14.5" style="2" bestFit="1" customWidth="1"/>
    <col min="6" max="6" width="17" style="2" bestFit="1" customWidth="1"/>
    <col min="7" max="7" width="15" style="2" bestFit="1" customWidth="1"/>
    <col min="8" max="8" width="17" style="2" bestFit="1" customWidth="1"/>
    <col min="9" max="9" width="15" style="2" bestFit="1" customWidth="1"/>
    <col min="10" max="10" width="17" style="2" bestFit="1" customWidth="1"/>
    <col min="11" max="11" width="47" style="2" bestFit="1" customWidth="1"/>
    <col min="12" max="12" width="21" style="2" bestFit="1" customWidth="1"/>
    <col min="13" max="13" width="45" style="2" bestFit="1" customWidth="1"/>
    <col min="14" max="14" width="21" style="2" bestFit="1" customWidth="1"/>
    <col min="15" max="15" width="44" style="2" bestFit="1" customWidth="1"/>
    <col min="16" max="16" width="21" style="2" bestFit="1" customWidth="1"/>
    <col min="17" max="17" width="31.83203125" style="2" bestFit="1" customWidth="1"/>
    <col min="18" max="18" width="21" style="2" bestFit="1" customWidth="1"/>
    <col min="19" max="19" width="30" style="2" bestFit="1" customWidth="1"/>
    <col min="20" max="20" width="21" style="2" bestFit="1" customWidth="1"/>
    <col min="21" max="21" width="29" style="2" bestFit="1" customWidth="1"/>
    <col min="22" max="22" width="21" style="2" bestFit="1" customWidth="1"/>
    <col min="23" max="23" width="37.5" style="2" bestFit="1" customWidth="1"/>
    <col min="24" max="24" width="21" style="2" bestFit="1" customWidth="1"/>
    <col min="25" max="25" width="35.83203125" style="2" bestFit="1" customWidth="1"/>
    <col min="26" max="26" width="21" style="2" bestFit="1" customWidth="1"/>
    <col min="27" max="27" width="35" style="2" bestFit="1" customWidth="1"/>
    <col min="28" max="28" width="21" style="2" bestFit="1" customWidth="1"/>
    <col min="29" max="29" width="28.33203125" style="2" bestFit="1" customWidth="1"/>
    <col min="30" max="30" width="21" style="2" bestFit="1" customWidth="1"/>
    <col min="31" max="31" width="26.5" style="2" bestFit="1" customWidth="1"/>
    <col min="32" max="32" width="21" style="2" bestFit="1" customWidth="1"/>
    <col min="33" max="33" width="25.5" style="2" bestFit="1" customWidth="1"/>
    <col min="34" max="34" width="21" style="2" bestFit="1" customWidth="1"/>
    <col min="35" max="35" width="6" style="2" bestFit="1" customWidth="1"/>
    <col min="36" max="36" width="5" style="2" bestFit="1" customWidth="1"/>
    <col min="37" max="37" width="12.33203125" style="2" bestFit="1" customWidth="1"/>
    <col min="38" max="38" width="17" style="2" bestFit="1" customWidth="1"/>
    <col min="39" max="39" width="8" style="2" bestFit="1" customWidth="1"/>
    <col min="40" max="40" width="28" style="2" customWidth="1"/>
    <col min="41" max="41" width="10.33203125" style="2" customWidth="1"/>
    <col min="42" max="42" width="25" style="2" customWidth="1"/>
    <col min="43" max="43" width="12.5" style="2" bestFit="1" customWidth="1"/>
    <col min="44" max="44" width="15" style="2" bestFit="1" customWidth="1"/>
    <col min="45" max="45" width="12.33203125" style="2" bestFit="1" customWidth="1"/>
    <col min="46" max="46" width="17" style="2" bestFit="1" customWidth="1"/>
    <col min="47" max="47" width="8" style="2" bestFit="1" customWidth="1"/>
    <col min="48" max="48" width="25" style="2" bestFit="1" customWidth="1"/>
    <col min="49" max="49" width="9" style="2" bestFit="1" customWidth="1"/>
    <col min="50" max="50" width="26" style="2" customWidth="1"/>
    <col min="51" max="16384" width="8.83203125" style="2"/>
  </cols>
  <sheetData>
    <row r="1" spans="1:50">
      <c r="A1" s="1209" t="s">
        <v>143</v>
      </c>
      <c r="B1" s="1209"/>
      <c r="C1" s="1211" t="s">
        <v>144</v>
      </c>
      <c r="D1" s="1211"/>
      <c r="E1" s="1211"/>
      <c r="F1" s="1211"/>
      <c r="G1" s="1211"/>
      <c r="H1" s="1211"/>
      <c r="I1" s="1211"/>
      <c r="J1" s="1211"/>
      <c r="K1" s="1204" t="s">
        <v>145</v>
      </c>
      <c r="L1" s="1204"/>
      <c r="M1" s="1204"/>
      <c r="N1" s="1204"/>
      <c r="O1" s="1204"/>
      <c r="P1" s="1204"/>
      <c r="Q1" s="1204"/>
      <c r="R1" s="1204"/>
      <c r="S1" s="1204"/>
      <c r="T1" s="1204"/>
      <c r="U1" s="1204"/>
      <c r="V1" s="1204"/>
      <c r="W1" s="1204"/>
      <c r="X1" s="1204"/>
      <c r="Y1" s="1204"/>
      <c r="Z1" s="1204"/>
      <c r="AA1" s="1204"/>
      <c r="AB1" s="1204"/>
      <c r="AC1" s="1204"/>
      <c r="AD1" s="1204"/>
      <c r="AE1" s="1204"/>
      <c r="AF1" s="1204"/>
      <c r="AG1" s="1204"/>
      <c r="AH1" s="1205"/>
      <c r="AK1" s="1208" t="s">
        <v>146</v>
      </c>
      <c r="AL1" s="1208"/>
      <c r="AM1" s="1204" t="s">
        <v>147</v>
      </c>
      <c r="AN1" s="1204"/>
      <c r="AO1" s="1204"/>
      <c r="AP1" s="1204"/>
      <c r="AS1" s="1209" t="s">
        <v>148</v>
      </c>
      <c r="AT1" s="1209"/>
      <c r="AU1" s="1212" t="s">
        <v>147</v>
      </c>
      <c r="AV1" s="1212"/>
      <c r="AW1" s="1212"/>
      <c r="AX1" s="1213"/>
    </row>
    <row r="2" spans="1:50">
      <c r="A2" s="1209"/>
      <c r="B2" s="1209"/>
      <c r="C2" s="1210" t="s">
        <v>40</v>
      </c>
      <c r="D2" s="1210"/>
      <c r="E2" s="1210" t="s">
        <v>120</v>
      </c>
      <c r="F2" s="1210"/>
      <c r="G2" s="1210" t="s">
        <v>121</v>
      </c>
      <c r="H2" s="1210"/>
      <c r="I2" s="1210" t="s">
        <v>122</v>
      </c>
      <c r="J2" s="1210"/>
      <c r="K2" s="1206" t="s">
        <v>149</v>
      </c>
      <c r="L2" s="1206"/>
      <c r="M2" s="1206"/>
      <c r="N2" s="1206"/>
      <c r="O2" s="1206"/>
      <c r="P2" s="1206"/>
      <c r="Q2" s="1206" t="s">
        <v>150</v>
      </c>
      <c r="R2" s="1206"/>
      <c r="S2" s="1206"/>
      <c r="T2" s="1206"/>
      <c r="U2" s="1206"/>
      <c r="V2" s="1206"/>
      <c r="W2" s="1206" t="s">
        <v>151</v>
      </c>
      <c r="X2" s="1206"/>
      <c r="Y2" s="1206"/>
      <c r="Z2" s="1206"/>
      <c r="AA2" s="1206"/>
      <c r="AB2" s="1206"/>
      <c r="AC2" s="1206" t="s">
        <v>128</v>
      </c>
      <c r="AD2" s="1206"/>
      <c r="AE2" s="1206"/>
      <c r="AF2" s="1206"/>
      <c r="AG2" s="1206"/>
      <c r="AH2" s="1207"/>
      <c r="AK2" s="1208"/>
      <c r="AL2" s="1208"/>
      <c r="AM2" s="1214" t="str">
        <f>Tb_ImpTermStor[[#Headers],[LH2]]</f>
        <v>LH2</v>
      </c>
      <c r="AN2" s="1214"/>
      <c r="AO2" s="1214" t="str">
        <f>Tb_ImpTermStor[[#Headers],[NH3]]</f>
        <v>NH3</v>
      </c>
      <c r="AP2" s="1214"/>
      <c r="AS2" s="1209"/>
      <c r="AT2" s="1209"/>
      <c r="AU2" s="1214" t="str">
        <f>Tb_ExpTermStor[[#Headers],[LH2]]</f>
        <v>LH2</v>
      </c>
      <c r="AV2" s="1214"/>
      <c r="AW2" s="1215" t="str">
        <f>Tb_ExpTermStor[[#Headers],[NH3]]</f>
        <v>NH3</v>
      </c>
      <c r="AX2" s="1215"/>
    </row>
    <row r="3" spans="1:50">
      <c r="A3" s="1209"/>
      <c r="B3" s="1209"/>
      <c r="C3" s="1210"/>
      <c r="D3" s="1210"/>
      <c r="E3" s="1210"/>
      <c r="F3" s="1210"/>
      <c r="G3" s="1210"/>
      <c r="H3" s="1210"/>
      <c r="I3" s="1210"/>
      <c r="J3" s="1210"/>
      <c r="K3" s="1202" t="s">
        <v>21</v>
      </c>
      <c r="L3" s="1202"/>
      <c r="M3" s="1202" t="s">
        <v>152</v>
      </c>
      <c r="N3" s="1202"/>
      <c r="O3" s="1202" t="s">
        <v>153</v>
      </c>
      <c r="P3" s="1202"/>
      <c r="Q3" s="1202" t="s">
        <v>21</v>
      </c>
      <c r="R3" s="1202"/>
      <c r="S3" s="1202" t="s">
        <v>152</v>
      </c>
      <c r="T3" s="1202"/>
      <c r="U3" s="1202" t="s">
        <v>153</v>
      </c>
      <c r="V3" s="1202"/>
      <c r="W3" s="1202" t="s">
        <v>21</v>
      </c>
      <c r="X3" s="1202"/>
      <c r="Y3" s="1202" t="s">
        <v>152</v>
      </c>
      <c r="Z3" s="1202"/>
      <c r="AA3" s="1202" t="s">
        <v>153</v>
      </c>
      <c r="AB3" s="1202"/>
      <c r="AC3" s="1202" t="s">
        <v>21</v>
      </c>
      <c r="AD3" s="1202"/>
      <c r="AE3" s="1202" t="s">
        <v>152</v>
      </c>
      <c r="AF3" s="1202"/>
      <c r="AG3" s="1202" t="s">
        <v>153</v>
      </c>
      <c r="AH3" s="1203"/>
      <c r="AK3" s="1208"/>
      <c r="AL3" s="1208"/>
      <c r="AM3" s="649">
        <v>1</v>
      </c>
      <c r="AN3" s="649">
        <v>2</v>
      </c>
      <c r="AO3" s="649">
        <v>3</v>
      </c>
      <c r="AP3" s="649">
        <v>4</v>
      </c>
      <c r="AS3" s="1209"/>
      <c r="AT3" s="1209"/>
      <c r="AU3" s="202">
        <v>1</v>
      </c>
      <c r="AV3" s="202">
        <v>2</v>
      </c>
      <c r="AW3" s="202">
        <v>3</v>
      </c>
      <c r="AX3" s="202">
        <v>4</v>
      </c>
    </row>
    <row r="4" spans="1:50">
      <c r="A4" s="1209"/>
      <c r="B4" s="1209"/>
      <c r="C4" s="957" t="str">
        <f>Tb_FinStor[[#Headers],[Tank - Type I]]</f>
        <v>Tank - Type I</v>
      </c>
      <c r="D4" s="957"/>
      <c r="E4" s="957" t="str">
        <f>Tb_FinStor[[#Headers],[Tank - Type II]]</f>
        <v>Tank - Type II</v>
      </c>
      <c r="F4" s="957"/>
      <c r="G4" s="957" t="str">
        <f>Tb_FinStor[[#Headers],[Tank - Type III]]</f>
        <v>Tank - Type III</v>
      </c>
      <c r="H4" s="957"/>
      <c r="I4" s="957" t="str">
        <f>Tb_FinStor[[#Headers],[Tank - Type IV]]</f>
        <v>Tank - Type IV</v>
      </c>
      <c r="J4" s="957"/>
      <c r="K4" s="957" t="str">
        <f>Tb_FinStor[[#Headers],[Geological - Depleted NG or Oil ReservoirGermany]]</f>
        <v>Geological - Depleted NG or Oil ReservoirGermany</v>
      </c>
      <c r="L4" s="957"/>
      <c r="M4" s="957" t="str">
        <f>Tb_FinStor[[#Headers],[Geological - Depleted NG or Oil ReservoirFrance]]</f>
        <v>Geological - Depleted NG or Oil ReservoirFrance</v>
      </c>
      <c r="N4" s="957"/>
      <c r="O4" s="957" t="str">
        <f>Tb_FinStor[[#Headers],[Geological - Depleted NG or Oil ReservoirSpain]]</f>
        <v>Geological - Depleted NG or Oil ReservoirSpain</v>
      </c>
      <c r="P4" s="957"/>
      <c r="Q4" s="957" t="str">
        <f>Tb_FinStor[[#Headers],[Geological - Salt CavernGermany]]</f>
        <v>Geological - Salt CavernGermany</v>
      </c>
      <c r="R4" s="957"/>
      <c r="S4" s="957" t="str">
        <f>Tb_FinStor[[#Headers],[Geological - Salt CavernFrance]]</f>
        <v>Geological - Salt CavernFrance</v>
      </c>
      <c r="T4" s="957"/>
      <c r="U4" s="957" t="str">
        <f>Tb_FinStor[[#Headers],[Geological - Salt CavernSpain]]</f>
        <v>Geological - Salt CavernSpain</v>
      </c>
      <c r="V4" s="957"/>
      <c r="W4" s="957" t="str">
        <f>Tb_FinStor[[#Headers],[Geological - Lined Rock CavernGermany]]</f>
        <v>Geological - Lined Rock CavernGermany</v>
      </c>
      <c r="X4" s="957"/>
      <c r="Y4" s="957" t="str">
        <f>Tb_FinStor[[#Headers],[Geological - Lined Rock CavernFrance]]</f>
        <v>Geological - Lined Rock CavernFrance</v>
      </c>
      <c r="Z4" s="957"/>
      <c r="AA4" s="957" t="str">
        <f>Tb_FinStor[[#Headers],[Geological - Lined Rock CavernSpain]]</f>
        <v>Geological - Lined Rock CavernSpain</v>
      </c>
      <c r="AB4" s="957"/>
      <c r="AC4" s="957" t="str">
        <f>Tb_FinStor[[#Headers],[Geological - AquiferGermany]]</f>
        <v>Geological - AquiferGermany</v>
      </c>
      <c r="AD4" s="957"/>
      <c r="AE4" s="957" t="str">
        <f>Tb_FinStor[[#Headers],[Geological - AquiferFrance]]</f>
        <v>Geological - AquiferFrance</v>
      </c>
      <c r="AF4" s="957"/>
      <c r="AG4" s="957" t="str">
        <f>Tb_FinStor[[#Headers],[Geological - AquiferSpain]]</f>
        <v>Geological - AquiferSpain</v>
      </c>
      <c r="AH4" s="958"/>
      <c r="AK4" s="655" t="s">
        <v>154</v>
      </c>
      <c r="AL4" s="656" t="s">
        <v>155</v>
      </c>
      <c r="AM4" s="655" t="s">
        <v>32</v>
      </c>
      <c r="AN4" s="655" t="s">
        <v>156</v>
      </c>
      <c r="AO4" s="655" t="s">
        <v>157</v>
      </c>
      <c r="AP4" s="655" t="s">
        <v>158</v>
      </c>
      <c r="AS4" s="53" t="s">
        <v>154</v>
      </c>
      <c r="AT4" s="53" t="s">
        <v>155</v>
      </c>
      <c r="AU4" s="48" t="s">
        <v>32</v>
      </c>
      <c r="AV4" s="48" t="s">
        <v>156</v>
      </c>
      <c r="AW4" s="48" t="s">
        <v>157</v>
      </c>
      <c r="AX4" s="48" t="s">
        <v>158</v>
      </c>
    </row>
    <row r="5" spans="1:50" ht="18">
      <c r="A5" s="1209"/>
      <c r="B5" s="1209"/>
      <c r="C5" s="643">
        <v>1</v>
      </c>
      <c r="D5" s="643">
        <v>2</v>
      </c>
      <c r="E5" s="643">
        <v>3</v>
      </c>
      <c r="F5" s="643">
        <v>4</v>
      </c>
      <c r="G5" s="643">
        <v>5</v>
      </c>
      <c r="H5" s="643">
        <v>6</v>
      </c>
      <c r="I5" s="643">
        <v>7</v>
      </c>
      <c r="J5" s="643">
        <v>8</v>
      </c>
      <c r="K5" s="643">
        <v>9</v>
      </c>
      <c r="L5" s="643">
        <v>10</v>
      </c>
      <c r="M5" s="643">
        <v>11</v>
      </c>
      <c r="N5" s="643">
        <v>12</v>
      </c>
      <c r="O5" s="643">
        <v>13</v>
      </c>
      <c r="P5" s="643">
        <v>14</v>
      </c>
      <c r="Q5" s="643">
        <v>15</v>
      </c>
      <c r="R5" s="643">
        <v>16</v>
      </c>
      <c r="S5" s="643">
        <v>17</v>
      </c>
      <c r="T5" s="643">
        <v>18</v>
      </c>
      <c r="U5" s="643">
        <v>19</v>
      </c>
      <c r="V5" s="643">
        <v>20</v>
      </c>
      <c r="W5" s="643">
        <v>21</v>
      </c>
      <c r="X5" s="643">
        <v>22</v>
      </c>
      <c r="Y5" s="643">
        <v>23</v>
      </c>
      <c r="Z5" s="643">
        <v>24</v>
      </c>
      <c r="AA5" s="643">
        <v>25</v>
      </c>
      <c r="AB5" s="643">
        <v>26</v>
      </c>
      <c r="AC5" s="643">
        <v>27</v>
      </c>
      <c r="AD5" s="643">
        <v>28</v>
      </c>
      <c r="AE5" s="643">
        <v>29</v>
      </c>
      <c r="AF5" s="643">
        <v>30</v>
      </c>
      <c r="AG5" s="650">
        <v>31</v>
      </c>
      <c r="AH5" s="651">
        <v>32</v>
      </c>
      <c r="AK5" s="540" t="s">
        <v>159</v>
      </c>
      <c r="AL5" s="541" t="s">
        <v>160</v>
      </c>
      <c r="AM5" s="645">
        <v>1E-3</v>
      </c>
      <c r="AN5" s="187" t="s">
        <v>161</v>
      </c>
      <c r="AO5" s="550">
        <v>4.0000000000000002E-4</v>
      </c>
      <c r="AP5" s="137" t="s">
        <v>162</v>
      </c>
      <c r="AS5" s="540" t="s">
        <v>159</v>
      </c>
      <c r="AT5" s="541" t="s">
        <v>160</v>
      </c>
      <c r="AU5" s="647">
        <v>1E-3</v>
      </c>
      <c r="AV5" s="119" t="s">
        <v>161</v>
      </c>
      <c r="AW5" s="550">
        <v>4.0000000000000002E-4</v>
      </c>
      <c r="AX5" s="137" t="s">
        <v>162</v>
      </c>
    </row>
    <row r="6" spans="1:50" ht="18">
      <c r="A6" s="652" t="s">
        <v>154</v>
      </c>
      <c r="B6" s="439" t="s">
        <v>155</v>
      </c>
      <c r="C6" s="439" t="s">
        <v>40</v>
      </c>
      <c r="D6" s="439" t="s">
        <v>156</v>
      </c>
      <c r="E6" s="439" t="s">
        <v>120</v>
      </c>
      <c r="F6" s="439" t="s">
        <v>158</v>
      </c>
      <c r="G6" s="439" t="s">
        <v>121</v>
      </c>
      <c r="H6" s="439" t="s">
        <v>163</v>
      </c>
      <c r="I6" s="439" t="s">
        <v>122</v>
      </c>
      <c r="J6" s="439" t="s">
        <v>164</v>
      </c>
      <c r="K6" s="439" t="s">
        <v>165</v>
      </c>
      <c r="L6" s="439" t="s">
        <v>166</v>
      </c>
      <c r="M6" s="439" t="s">
        <v>167</v>
      </c>
      <c r="N6" s="439" t="s">
        <v>168</v>
      </c>
      <c r="O6" s="439" t="s">
        <v>169</v>
      </c>
      <c r="P6" s="439" t="s">
        <v>170</v>
      </c>
      <c r="Q6" s="439" t="s">
        <v>171</v>
      </c>
      <c r="R6" s="439" t="s">
        <v>172</v>
      </c>
      <c r="S6" s="439" t="s">
        <v>173</v>
      </c>
      <c r="T6" s="439" t="s">
        <v>174</v>
      </c>
      <c r="U6" s="439" t="s">
        <v>175</v>
      </c>
      <c r="V6" s="439" t="s">
        <v>176</v>
      </c>
      <c r="W6" s="439" t="s">
        <v>177</v>
      </c>
      <c r="X6" s="439" t="s">
        <v>178</v>
      </c>
      <c r="Y6" s="439" t="s">
        <v>179</v>
      </c>
      <c r="Z6" s="439" t="s">
        <v>180</v>
      </c>
      <c r="AA6" s="439" t="s">
        <v>181</v>
      </c>
      <c r="AB6" s="439" t="s">
        <v>182</v>
      </c>
      <c r="AC6" s="439" t="s">
        <v>183</v>
      </c>
      <c r="AD6" s="439" t="s">
        <v>184</v>
      </c>
      <c r="AE6" s="439" t="s">
        <v>185</v>
      </c>
      <c r="AF6" s="439" t="s">
        <v>186</v>
      </c>
      <c r="AG6" s="653" t="s">
        <v>187</v>
      </c>
      <c r="AH6" s="654" t="s">
        <v>188</v>
      </c>
      <c r="AK6" s="629" t="s">
        <v>189</v>
      </c>
      <c r="AL6" s="364" t="s">
        <v>190</v>
      </c>
      <c r="AM6" s="630">
        <v>1</v>
      </c>
      <c r="AN6" s="35"/>
      <c r="AO6" s="636">
        <v>1</v>
      </c>
      <c r="AP6" s="43"/>
      <c r="AS6" s="629" t="s">
        <v>189</v>
      </c>
      <c r="AT6" s="364" t="s">
        <v>190</v>
      </c>
      <c r="AU6" s="630">
        <v>1</v>
      </c>
      <c r="AV6" s="35"/>
      <c r="AW6" s="636">
        <v>1</v>
      </c>
      <c r="AX6" s="43"/>
    </row>
    <row r="7" spans="1:50" ht="18">
      <c r="A7" s="540" t="s">
        <v>191</v>
      </c>
      <c r="B7" s="364" t="s">
        <v>160</v>
      </c>
      <c r="C7" s="548">
        <v>0</v>
      </c>
      <c r="D7" s="214" t="s">
        <v>404</v>
      </c>
      <c r="E7" s="548">
        <v>0</v>
      </c>
      <c r="F7" s="131" t="s">
        <v>1311</v>
      </c>
      <c r="G7" s="548">
        <v>0</v>
      </c>
      <c r="H7" s="131" t="s">
        <v>1311</v>
      </c>
      <c r="I7" s="548">
        <v>0</v>
      </c>
      <c r="J7" s="131" t="s">
        <v>1311</v>
      </c>
      <c r="K7" s="364">
        <v>1.4999999999999999E-2</v>
      </c>
      <c r="L7" s="119" t="s">
        <v>225</v>
      </c>
      <c r="M7" s="364">
        <v>1.4999999999999999E-2</v>
      </c>
      <c r="N7" s="119" t="s">
        <v>225</v>
      </c>
      <c r="O7" s="364">
        <v>1.4999999999999999E-2</v>
      </c>
      <c r="P7" s="119" t="s">
        <v>225</v>
      </c>
      <c r="Q7" s="364">
        <v>0</v>
      </c>
      <c r="R7" s="119" t="s">
        <v>225</v>
      </c>
      <c r="S7" s="364">
        <v>0</v>
      </c>
      <c r="T7" s="119" t="s">
        <v>225</v>
      </c>
      <c r="U7" s="364">
        <v>0</v>
      </c>
      <c r="V7" s="119" t="s">
        <v>225</v>
      </c>
      <c r="W7" s="364">
        <v>0</v>
      </c>
      <c r="X7" s="131" t="s">
        <v>213</v>
      </c>
      <c r="Y7" s="364">
        <v>0</v>
      </c>
      <c r="Z7" s="131" t="s">
        <v>213</v>
      </c>
      <c r="AA7" s="364">
        <v>0</v>
      </c>
      <c r="AB7" s="131" t="s">
        <v>213</v>
      </c>
      <c r="AC7" s="364">
        <v>1.4999999999999999E-2</v>
      </c>
      <c r="AD7" s="119" t="s">
        <v>225</v>
      </c>
      <c r="AE7" s="364">
        <v>1.4999999999999999E-2</v>
      </c>
      <c r="AF7" s="119" t="s">
        <v>225</v>
      </c>
      <c r="AG7" s="364">
        <v>1.4999999999999999E-2</v>
      </c>
      <c r="AH7" s="137" t="s">
        <v>225</v>
      </c>
      <c r="AK7" s="527" t="s">
        <v>193</v>
      </c>
      <c r="AL7" s="364" t="s">
        <v>194</v>
      </c>
      <c r="AM7" s="630">
        <v>-253</v>
      </c>
      <c r="AN7" s="106"/>
      <c r="AO7" s="646">
        <v>-33</v>
      </c>
      <c r="AP7" s="43"/>
      <c r="AS7" s="527" t="s">
        <v>193</v>
      </c>
      <c r="AT7" s="364" t="s">
        <v>194</v>
      </c>
      <c r="AU7" s="630">
        <v>-253</v>
      </c>
      <c r="AV7" s="106"/>
      <c r="AW7" s="646">
        <v>-33</v>
      </c>
      <c r="AX7" s="43"/>
    </row>
    <row r="8" spans="1:50" ht="18">
      <c r="A8" s="629" t="s">
        <v>189</v>
      </c>
      <c r="B8" s="364" t="s">
        <v>59</v>
      </c>
      <c r="C8" s="630">
        <v>250</v>
      </c>
      <c r="D8" s="209" t="s">
        <v>195</v>
      </c>
      <c r="E8" s="630">
        <v>250</v>
      </c>
      <c r="F8" s="131" t="s">
        <v>1311</v>
      </c>
      <c r="G8" s="548">
        <v>325</v>
      </c>
      <c r="H8" s="203" t="s">
        <v>195</v>
      </c>
      <c r="I8" s="548">
        <v>600</v>
      </c>
      <c r="J8" s="203" t="s">
        <v>195</v>
      </c>
      <c r="K8" s="548">
        <v>150</v>
      </c>
      <c r="L8" s="119" t="s">
        <v>196</v>
      </c>
      <c r="M8" s="548">
        <v>150</v>
      </c>
      <c r="N8" s="119" t="s">
        <v>196</v>
      </c>
      <c r="O8" s="548">
        <v>150</v>
      </c>
      <c r="P8" s="119" t="s">
        <v>196</v>
      </c>
      <c r="Q8" s="548">
        <f>(35+210)/2</f>
        <v>122.5</v>
      </c>
      <c r="R8" s="119" t="s">
        <v>196</v>
      </c>
      <c r="S8" s="548">
        <f>(35+210)/2</f>
        <v>122.5</v>
      </c>
      <c r="T8" s="119" t="s">
        <v>196</v>
      </c>
      <c r="U8" s="548">
        <f>(35+210)/2</f>
        <v>122.5</v>
      </c>
      <c r="V8" s="119" t="s">
        <v>196</v>
      </c>
      <c r="W8" s="548">
        <v>110</v>
      </c>
      <c r="X8" s="119" t="s">
        <v>196</v>
      </c>
      <c r="Y8" s="548">
        <v>110</v>
      </c>
      <c r="Z8" s="119" t="s">
        <v>196</v>
      </c>
      <c r="AA8" s="548">
        <v>110</v>
      </c>
      <c r="AB8" s="119" t="s">
        <v>196</v>
      </c>
      <c r="AC8" s="548">
        <f>(315+30)/2</f>
        <v>172.5</v>
      </c>
      <c r="AD8" s="119" t="s">
        <v>196</v>
      </c>
      <c r="AE8" s="548">
        <f>(315+30)/2</f>
        <v>172.5</v>
      </c>
      <c r="AF8" s="119" t="s">
        <v>196</v>
      </c>
      <c r="AG8" s="548">
        <f>(315+30)/2</f>
        <v>172.5</v>
      </c>
      <c r="AH8" s="137" t="s">
        <v>196</v>
      </c>
      <c r="AK8" s="527" t="s">
        <v>197</v>
      </c>
      <c r="AL8" s="364" t="s">
        <v>198</v>
      </c>
      <c r="AM8" s="630">
        <v>4300</v>
      </c>
      <c r="AN8" s="131" t="s">
        <v>199</v>
      </c>
      <c r="AO8" s="630">
        <v>50000</v>
      </c>
      <c r="AP8" s="204"/>
      <c r="AS8" s="527" t="s">
        <v>197</v>
      </c>
      <c r="AT8" s="364" t="s">
        <v>198</v>
      </c>
      <c r="AU8" s="630">
        <v>4300</v>
      </c>
      <c r="AV8" s="131" t="s">
        <v>199</v>
      </c>
      <c r="AW8" s="630">
        <v>50000</v>
      </c>
      <c r="AX8" s="204"/>
    </row>
    <row r="9" spans="1:50" ht="18">
      <c r="A9" s="527" t="s">
        <v>193</v>
      </c>
      <c r="B9" s="364" t="s">
        <v>200</v>
      </c>
      <c r="C9" s="630">
        <v>25</v>
      </c>
      <c r="D9" s="35"/>
      <c r="E9" s="636">
        <v>25</v>
      </c>
      <c r="F9" s="41"/>
      <c r="G9" s="636">
        <v>25</v>
      </c>
      <c r="H9"/>
      <c r="I9" s="548">
        <v>25</v>
      </c>
      <c r="J9"/>
      <c r="K9" s="548">
        <v>35</v>
      </c>
      <c r="L9" s="41" t="s">
        <v>201</v>
      </c>
      <c r="M9" s="548">
        <v>35</v>
      </c>
      <c r="N9" s="41" t="s">
        <v>201</v>
      </c>
      <c r="O9" s="548">
        <v>35</v>
      </c>
      <c r="P9" s="41" t="s">
        <v>201</v>
      </c>
      <c r="Q9" s="548">
        <v>35</v>
      </c>
      <c r="R9" s="41" t="s">
        <v>201</v>
      </c>
      <c r="S9" s="548">
        <v>35</v>
      </c>
      <c r="T9" s="41" t="s">
        <v>201</v>
      </c>
      <c r="U9" s="548">
        <v>35</v>
      </c>
      <c r="V9" s="41" t="s">
        <v>201</v>
      </c>
      <c r="W9" s="548">
        <v>35</v>
      </c>
      <c r="X9" s="41" t="s">
        <v>201</v>
      </c>
      <c r="Y9" s="548">
        <v>35</v>
      </c>
      <c r="Z9" s="41" t="s">
        <v>201</v>
      </c>
      <c r="AA9" s="548">
        <v>35</v>
      </c>
      <c r="AB9" s="41" t="s">
        <v>201</v>
      </c>
      <c r="AC9" s="548">
        <v>35</v>
      </c>
      <c r="AD9" s="41" t="s">
        <v>201</v>
      </c>
      <c r="AE9" s="548">
        <v>35</v>
      </c>
      <c r="AF9" s="41" t="s">
        <v>201</v>
      </c>
      <c r="AG9" s="548">
        <v>25</v>
      </c>
      <c r="AH9" s="43" t="s">
        <v>201</v>
      </c>
      <c r="AK9" s="527" t="s">
        <v>202</v>
      </c>
      <c r="AL9" s="364" t="s">
        <v>160</v>
      </c>
      <c r="AM9" s="630">
        <v>0.04</v>
      </c>
      <c r="AN9" s="190" t="s">
        <v>203</v>
      </c>
      <c r="AO9" s="636">
        <v>0.04</v>
      </c>
      <c r="AP9" s="189" t="s">
        <v>203</v>
      </c>
      <c r="AS9" s="527" t="s">
        <v>202</v>
      </c>
      <c r="AT9" s="364" t="s">
        <v>160</v>
      </c>
      <c r="AU9" s="630">
        <v>0.04</v>
      </c>
      <c r="AV9" s="119" t="s">
        <v>161</v>
      </c>
      <c r="AW9" s="630">
        <v>0.04</v>
      </c>
      <c r="AX9" s="137" t="s">
        <v>161</v>
      </c>
    </row>
    <row r="10" spans="1:50" ht="18">
      <c r="A10" s="629" t="s">
        <v>204</v>
      </c>
      <c r="B10" s="364" t="s">
        <v>205</v>
      </c>
      <c r="C10" s="548" t="e" cm="1">
        <f t="array" aca="1" ref="C10" ca="1">[1]!PropsSI("D", "T", (FinalStorage!$D$32+273.15), "P", (FinalStorage!$D$31*100000), "Hydrogen")</f>
        <v>#NAME?</v>
      </c>
      <c r="D10" s="106"/>
      <c r="E10" s="548" t="e" cm="1">
        <f t="array" aca="1" ref="E10" ca="1">[1]!PropsSI("D", "T", (FinalStorage!$D$32+273.15), "P", (FinalStorage!$D$31*100000), "Hydrogen")</f>
        <v>#NAME?</v>
      </c>
      <c r="F10" s="119"/>
      <c r="G10" s="548" t="e" cm="1">
        <f t="array" aca="1" ref="G10" ca="1">[1]!PropsSI("D", "T", (FinalStorage!$D$32+273.15), "P", (FinalStorage!$D$31*100000), "Hydrogen")</f>
        <v>#NAME?</v>
      </c>
      <c r="H10"/>
      <c r="I10" s="548" t="e" cm="1">
        <f t="array" aca="1" ref="I10" ca="1">[1]!PropsSI("D", "T", (FinalStorage!$D$32+273.15), "P", (FinalStorage!$D$31*100000), "Hydrogen")</f>
        <v>#NAME?</v>
      </c>
      <c r="J10"/>
      <c r="K10" s="548" t="e" cm="1">
        <f t="array" aca="1" ref="K10" ca="1">[1]!PropsSI("D", "T", (FinalStorage!$D$32+273.15), "P", (FinalStorage!$D$31*100000), "Hydrogen")</f>
        <v>#NAME?</v>
      </c>
      <c r="L10"/>
      <c r="M10" s="548" t="e" cm="1">
        <f t="array" aca="1" ref="M10" ca="1">[1]!PropsSI("D", "T", (FinalStorage!$D$32+273.15), "P", (FinalStorage!$D$31*100000), "Hydrogen")</f>
        <v>#NAME?</v>
      </c>
      <c r="N10"/>
      <c r="O10" s="548" t="e" cm="1">
        <f t="array" aca="1" ref="O10" ca="1">[1]!PropsSI("D", "T", (FinalStorage!$D$32+273.15), "P", (FinalStorage!$D$31*100000), "Hydrogen")</f>
        <v>#NAME?</v>
      </c>
      <c r="P10"/>
      <c r="Q10" s="548" t="e" cm="1">
        <f t="array" aca="1" ref="Q10" ca="1">[1]!PropsSI("D", "T", (FinalStorage!$D$32+273.15), "P", (FinalStorage!$D$31*100000), "Hydrogen")</f>
        <v>#NAME?</v>
      </c>
      <c r="R10"/>
      <c r="S10" s="548" t="e" cm="1">
        <f t="array" aca="1" ref="S10" ca="1">[1]!PropsSI("D", "T", (FinalStorage!$D$32+273.15), "P", (FinalStorage!$D$31*100000), "Hydrogen")</f>
        <v>#NAME?</v>
      </c>
      <c r="T10"/>
      <c r="U10" s="548" t="e" cm="1">
        <f t="array" aca="1" ref="U10" ca="1">[1]!PropsSI("D", "T", (FinalStorage!$D$32+273.15), "P", (FinalStorage!$D$31*100000), "Hydrogen")</f>
        <v>#NAME?</v>
      </c>
      <c r="V10"/>
      <c r="W10" s="548" t="e" cm="1">
        <f t="array" aca="1" ref="W10" ca="1">[1]!PropsSI("D", "T", (FinalStorage!$D$32+273.15), "P", (FinalStorage!$D$31*100000), "Hydrogen")</f>
        <v>#NAME?</v>
      </c>
      <c r="X10"/>
      <c r="Y10" s="548" t="e" cm="1">
        <f t="array" aca="1" ref="Y10" ca="1">[1]!PropsSI("D", "T", (FinalStorage!$D$32+273.15), "P", (FinalStorage!$D$31*100000), "Hydrogen")</f>
        <v>#NAME?</v>
      </c>
      <c r="Z10"/>
      <c r="AA10" s="548" t="e" cm="1">
        <f t="array" aca="1" ref="AA10" ca="1">[1]!PropsSI("D", "T", (FinalStorage!$D$32+273.15), "P", (FinalStorage!$D$31*100000), "Hydrogen")</f>
        <v>#NAME?</v>
      </c>
      <c r="AB10"/>
      <c r="AC10" s="548" t="e" cm="1">
        <f t="array" aca="1" ref="AC10" ca="1">[1]!PropsSI("D", "T", (FinalStorage!$D$32+273.15), "P", (FinalStorage!$D$31*100000), "Hydrogen")</f>
        <v>#NAME?</v>
      </c>
      <c r="AD10"/>
      <c r="AE10" s="548" t="e" cm="1">
        <f t="array" aca="1" ref="AE10" ca="1">[1]!PropsSI("D", "T", (FinalStorage!$D$32+273.15), "P", (FinalStorage!$D$31*100000), "Hydrogen")</f>
        <v>#NAME?</v>
      </c>
      <c r="AF10"/>
      <c r="AG10" s="548" t="e" cm="1">
        <f t="array" aca="1" ref="AG10" ca="1">[1]!PropsSI("D", "T", (FinalStorage!$D$32+273.15), "P", (FinalStorage!$D$31*100000), "Hydrogen")</f>
        <v>#NAME?</v>
      </c>
      <c r="AH10" s="37"/>
      <c r="AK10" s="632" t="s">
        <v>206</v>
      </c>
      <c r="AL10" s="364" t="s">
        <v>207</v>
      </c>
      <c r="AM10" s="630">
        <v>30</v>
      </c>
      <c r="AN10" s="119" t="s">
        <v>161</v>
      </c>
      <c r="AO10" s="630">
        <v>30</v>
      </c>
      <c r="AP10" s="137" t="s">
        <v>161</v>
      </c>
      <c r="AS10" s="632" t="s">
        <v>206</v>
      </c>
      <c r="AT10" s="364" t="s">
        <v>207</v>
      </c>
      <c r="AU10" s="630">
        <v>30</v>
      </c>
      <c r="AV10" s="119" t="s">
        <v>161</v>
      </c>
      <c r="AW10" s="630">
        <v>30</v>
      </c>
      <c r="AX10" s="137" t="s">
        <v>161</v>
      </c>
    </row>
    <row r="11" spans="1:50" ht="18">
      <c r="A11" s="527" t="s">
        <v>208</v>
      </c>
      <c r="B11" s="364" t="s">
        <v>209</v>
      </c>
      <c r="C11" s="630">
        <v>4500</v>
      </c>
      <c r="D11" s="41" t="s">
        <v>210</v>
      </c>
      <c r="E11" s="630">
        <v>4500</v>
      </c>
      <c r="F11" s="41" t="s">
        <v>210</v>
      </c>
      <c r="G11" s="630">
        <v>4500</v>
      </c>
      <c r="H11" s="41" t="s">
        <v>210</v>
      </c>
      <c r="I11" s="630">
        <v>4500</v>
      </c>
      <c r="J11" s="41" t="s">
        <v>210</v>
      </c>
      <c r="K11" s="548"/>
      <c r="L11"/>
      <c r="M11" s="548"/>
      <c r="N11"/>
      <c r="O11" s="548"/>
      <c r="P11"/>
      <c r="Q11" s="548"/>
      <c r="R11"/>
      <c r="S11" s="548"/>
      <c r="T11"/>
      <c r="U11" s="548"/>
      <c r="V11"/>
      <c r="W11" s="548"/>
      <c r="X11"/>
      <c r="Y11" s="548"/>
      <c r="Z11"/>
      <c r="AA11" s="548"/>
      <c r="AB11"/>
      <c r="AC11" s="548"/>
      <c r="AD11"/>
      <c r="AE11" s="548"/>
      <c r="AF11"/>
      <c r="AG11" s="548"/>
      <c r="AH11" s="37"/>
      <c r="AK11" s="527" t="s">
        <v>211</v>
      </c>
      <c r="AL11" s="364" t="s">
        <v>160</v>
      </c>
      <c r="AM11" s="630">
        <v>0.08</v>
      </c>
      <c r="AN11" s="119" t="s">
        <v>161</v>
      </c>
      <c r="AO11" s="630">
        <v>0.08</v>
      </c>
      <c r="AP11" s="137" t="s">
        <v>161</v>
      </c>
      <c r="AS11" s="527" t="s">
        <v>211</v>
      </c>
      <c r="AT11" s="364" t="s">
        <v>160</v>
      </c>
      <c r="AU11" s="630">
        <v>0.08</v>
      </c>
      <c r="AV11" s="119" t="s">
        <v>161</v>
      </c>
      <c r="AW11" s="630">
        <v>0.08</v>
      </c>
      <c r="AX11" s="137" t="s">
        <v>161</v>
      </c>
    </row>
    <row r="12" spans="1:50" ht="18">
      <c r="A12" s="629" t="s">
        <v>212</v>
      </c>
      <c r="B12" s="364" t="s">
        <v>209</v>
      </c>
      <c r="C12" s="630"/>
      <c r="D12" s="35"/>
      <c r="E12" s="637"/>
      <c r="F12" s="119"/>
      <c r="G12" s="548"/>
      <c r="H12"/>
      <c r="I12" s="548"/>
      <c r="J12"/>
      <c r="K12" s="548">
        <v>7000</v>
      </c>
      <c r="L12" s="131" t="s">
        <v>213</v>
      </c>
      <c r="M12" s="548">
        <v>7000</v>
      </c>
      <c r="N12" s="131" t="s">
        <v>213</v>
      </c>
      <c r="O12" s="548">
        <v>7000</v>
      </c>
      <c r="P12" s="131" t="s">
        <v>213</v>
      </c>
      <c r="Q12" s="548">
        <v>7000</v>
      </c>
      <c r="R12" s="41" t="s">
        <v>214</v>
      </c>
      <c r="S12" s="548">
        <v>7000</v>
      </c>
      <c r="T12" s="41" t="s">
        <v>214</v>
      </c>
      <c r="U12" s="548">
        <v>7000</v>
      </c>
      <c r="V12" s="41" t="s">
        <v>214</v>
      </c>
      <c r="W12" s="548">
        <v>7000</v>
      </c>
      <c r="X12" s="131" t="s">
        <v>213</v>
      </c>
      <c r="Y12" s="548">
        <v>7000</v>
      </c>
      <c r="Z12" s="131" t="s">
        <v>213</v>
      </c>
      <c r="AA12" s="548">
        <v>7000</v>
      </c>
      <c r="AB12" s="131" t="s">
        <v>213</v>
      </c>
      <c r="AC12" s="548">
        <v>7000</v>
      </c>
      <c r="AD12" s="131" t="s">
        <v>213</v>
      </c>
      <c r="AE12" s="548">
        <v>7000</v>
      </c>
      <c r="AF12" s="131" t="s">
        <v>213</v>
      </c>
      <c r="AG12" s="548">
        <v>7000</v>
      </c>
      <c r="AH12" s="204" t="s">
        <v>213</v>
      </c>
      <c r="AK12" s="527" t="s">
        <v>215</v>
      </c>
      <c r="AL12" s="364" t="s">
        <v>160</v>
      </c>
      <c r="AM12" s="630">
        <v>1</v>
      </c>
      <c r="AN12" s="119" t="s">
        <v>216</v>
      </c>
      <c r="AO12" s="630">
        <v>1</v>
      </c>
      <c r="AP12" s="43" t="s">
        <v>216</v>
      </c>
      <c r="AS12" s="527" t="s">
        <v>215</v>
      </c>
      <c r="AT12" s="364" t="s">
        <v>160</v>
      </c>
      <c r="AU12" s="630">
        <v>1</v>
      </c>
      <c r="AV12" s="119" t="s">
        <v>216</v>
      </c>
      <c r="AW12" s="630">
        <v>1</v>
      </c>
      <c r="AX12" s="43" t="s">
        <v>216</v>
      </c>
    </row>
    <row r="13" spans="1:50" ht="18">
      <c r="A13" s="629" t="s">
        <v>217</v>
      </c>
      <c r="B13" s="364" t="s">
        <v>209</v>
      </c>
      <c r="C13" s="630"/>
      <c r="D13" s="35"/>
      <c r="E13" s="637"/>
      <c r="F13" s="119"/>
      <c r="G13" s="548"/>
      <c r="H13"/>
      <c r="I13" s="548"/>
      <c r="J13"/>
      <c r="K13" s="548">
        <v>1000000</v>
      </c>
      <c r="L13"/>
      <c r="M13" s="548">
        <v>1000000</v>
      </c>
      <c r="N13"/>
      <c r="O13" s="548">
        <v>1000000</v>
      </c>
      <c r="P13"/>
      <c r="Q13" s="548">
        <v>1000000</v>
      </c>
      <c r="R13" s="41" t="s">
        <v>218</v>
      </c>
      <c r="S13" s="548">
        <v>1000000</v>
      </c>
      <c r="T13" s="41" t="s">
        <v>218</v>
      </c>
      <c r="U13" s="548">
        <v>1000000</v>
      </c>
      <c r="V13" s="41" t="s">
        <v>218</v>
      </c>
      <c r="W13" s="548">
        <v>1000000</v>
      </c>
      <c r="X13" s="41"/>
      <c r="Y13" s="548">
        <v>1000000</v>
      </c>
      <c r="Z13"/>
      <c r="AA13" s="548">
        <v>1000000</v>
      </c>
      <c r="AB13"/>
      <c r="AC13" s="548">
        <v>1000000</v>
      </c>
      <c r="AD13"/>
      <c r="AE13" s="548">
        <v>1000000</v>
      </c>
      <c r="AF13"/>
      <c r="AG13" s="548">
        <v>1000000</v>
      </c>
      <c r="AH13" s="37"/>
      <c r="AK13" s="527" t="s">
        <v>219</v>
      </c>
      <c r="AL13" s="364" t="s">
        <v>220</v>
      </c>
      <c r="AM13" s="630">
        <v>320</v>
      </c>
      <c r="AN13" s="119" t="s">
        <v>161</v>
      </c>
      <c r="AO13" s="630">
        <v>97</v>
      </c>
      <c r="AP13" s="137" t="s">
        <v>161</v>
      </c>
      <c r="AS13" s="527" t="s">
        <v>219</v>
      </c>
      <c r="AT13" s="364" t="s">
        <v>220</v>
      </c>
      <c r="AU13" s="630">
        <v>290</v>
      </c>
      <c r="AV13" s="119" t="s">
        <v>161</v>
      </c>
      <c r="AW13" s="630">
        <v>68</v>
      </c>
      <c r="AX13" s="137" t="s">
        <v>161</v>
      </c>
    </row>
    <row r="14" spans="1:50" ht="18">
      <c r="A14" s="629" t="s">
        <v>221</v>
      </c>
      <c r="B14" s="364" t="s">
        <v>160</v>
      </c>
      <c r="C14" s="631" t="s">
        <v>222</v>
      </c>
      <c r="D14" s="257"/>
      <c r="E14" s="638" t="s">
        <v>222</v>
      </c>
      <c r="F14" s="205"/>
      <c r="G14" s="631" t="s">
        <v>222</v>
      </c>
      <c r="H14" s="258"/>
      <c r="I14" s="631" t="s">
        <v>222</v>
      </c>
      <c r="J14"/>
      <c r="K14" s="548">
        <v>0.55000000000000004</v>
      </c>
      <c r="L14" s="41" t="s">
        <v>196</v>
      </c>
      <c r="M14" s="548">
        <v>0.55000000000000004</v>
      </c>
      <c r="N14" s="41" t="s">
        <v>196</v>
      </c>
      <c r="O14" s="548">
        <v>0.55000000000000004</v>
      </c>
      <c r="P14" s="41" t="s">
        <v>196</v>
      </c>
      <c r="Q14" s="548">
        <v>0.3</v>
      </c>
      <c r="R14" s="41" t="s">
        <v>196</v>
      </c>
      <c r="S14" s="548">
        <v>0.3</v>
      </c>
      <c r="T14" s="41" t="s">
        <v>196</v>
      </c>
      <c r="U14" s="548">
        <v>0.3</v>
      </c>
      <c r="V14" s="41" t="s">
        <v>196</v>
      </c>
      <c r="W14" s="548">
        <v>0.18</v>
      </c>
      <c r="X14" s="131" t="s">
        <v>199</v>
      </c>
      <c r="Y14" s="548">
        <v>0.18</v>
      </c>
      <c r="Z14" s="131" t="s">
        <v>199</v>
      </c>
      <c r="AA14" s="548">
        <v>0.18</v>
      </c>
      <c r="AB14" s="131" t="s">
        <v>199</v>
      </c>
      <c r="AC14" s="548">
        <v>0.62</v>
      </c>
      <c r="AD14" s="131" t="s">
        <v>199</v>
      </c>
      <c r="AE14" s="548">
        <v>0.62</v>
      </c>
      <c r="AF14" s="131" t="s">
        <v>199</v>
      </c>
      <c r="AG14" s="548">
        <v>0.62</v>
      </c>
      <c r="AH14" s="204" t="s">
        <v>199</v>
      </c>
      <c r="AK14" s="545" t="s">
        <v>223</v>
      </c>
      <c r="AL14" s="546" t="s">
        <v>198</v>
      </c>
      <c r="AM14" s="630">
        <v>3550</v>
      </c>
      <c r="AN14" s="188" t="s">
        <v>161</v>
      </c>
      <c r="AO14" s="630">
        <v>56700</v>
      </c>
      <c r="AP14" s="141" t="s">
        <v>161</v>
      </c>
      <c r="AS14" s="545" t="s">
        <v>223</v>
      </c>
      <c r="AT14" s="546" t="s">
        <v>198</v>
      </c>
      <c r="AU14" s="648">
        <v>3190</v>
      </c>
      <c r="AV14" s="188" t="s">
        <v>161</v>
      </c>
      <c r="AW14" s="648">
        <v>34100</v>
      </c>
      <c r="AX14" s="141" t="s">
        <v>161</v>
      </c>
    </row>
    <row r="15" spans="1:50" ht="18">
      <c r="A15" s="527" t="s">
        <v>202</v>
      </c>
      <c r="B15" s="364" t="s">
        <v>160</v>
      </c>
      <c r="C15" s="630">
        <v>1.4999999999999999E-2</v>
      </c>
      <c r="D15" s="119" t="s">
        <v>224</v>
      </c>
      <c r="E15" s="630">
        <v>1.4999999999999999E-2</v>
      </c>
      <c r="F15" s="119" t="s">
        <v>224</v>
      </c>
      <c r="G15" s="630">
        <v>1.4999999999999999E-2</v>
      </c>
      <c r="H15" s="119" t="s">
        <v>224</v>
      </c>
      <c r="I15" s="630">
        <v>1.4999999999999999E-2</v>
      </c>
      <c r="J15" s="119" t="s">
        <v>224</v>
      </c>
      <c r="K15" s="364">
        <v>0.04</v>
      </c>
      <c r="L15" s="119" t="s">
        <v>1307</v>
      </c>
      <c r="M15" s="364">
        <v>0.04</v>
      </c>
      <c r="N15" s="119" t="s">
        <v>1307</v>
      </c>
      <c r="O15" s="364">
        <v>0.04</v>
      </c>
      <c r="P15" s="119" t="s">
        <v>1307</v>
      </c>
      <c r="Q15" s="364">
        <v>3.5000000000000003E-2</v>
      </c>
      <c r="R15" s="131" t="s">
        <v>199</v>
      </c>
      <c r="S15" s="364">
        <v>3.5000000000000003E-2</v>
      </c>
      <c r="T15" s="131" t="s">
        <v>199</v>
      </c>
      <c r="U15" s="364">
        <v>3.5000000000000003E-2</v>
      </c>
      <c r="V15" s="131" t="s">
        <v>199</v>
      </c>
      <c r="W15" s="364">
        <v>0.04</v>
      </c>
      <c r="X15" s="119" t="s">
        <v>1307</v>
      </c>
      <c r="Y15" s="364">
        <v>0.04</v>
      </c>
      <c r="Z15" s="119" t="s">
        <v>1307</v>
      </c>
      <c r="AA15" s="364">
        <v>0.04</v>
      </c>
      <c r="AB15" s="119" t="s">
        <v>1307</v>
      </c>
      <c r="AC15" s="364">
        <v>0.05</v>
      </c>
      <c r="AD15" s="119" t="s">
        <v>225</v>
      </c>
      <c r="AE15" s="364">
        <v>0.05</v>
      </c>
      <c r="AF15" s="119" t="s">
        <v>225</v>
      </c>
      <c r="AG15" s="364">
        <v>0.05</v>
      </c>
      <c r="AH15" s="137" t="s">
        <v>225</v>
      </c>
      <c r="AM15" s="259"/>
      <c r="AN15" s="260"/>
      <c r="AO15" s="259"/>
      <c r="AP15" s="260"/>
      <c r="AU15" s="261"/>
      <c r="AV15" s="262"/>
      <c r="AW15" s="261"/>
      <c r="AX15" s="262"/>
    </row>
    <row r="16" spans="1:50" ht="18">
      <c r="A16" s="632" t="s">
        <v>206</v>
      </c>
      <c r="B16" s="364" t="s">
        <v>207</v>
      </c>
      <c r="C16" s="630">
        <v>25</v>
      </c>
      <c r="D16" s="131" t="s">
        <v>199</v>
      </c>
      <c r="E16" s="630">
        <v>25</v>
      </c>
      <c r="F16" s="131" t="s">
        <v>199</v>
      </c>
      <c r="G16" s="630">
        <v>25</v>
      </c>
      <c r="H16" s="131" t="s">
        <v>199</v>
      </c>
      <c r="I16" s="630">
        <v>25</v>
      </c>
      <c r="J16" s="131" t="s">
        <v>199</v>
      </c>
      <c r="K16" s="630">
        <v>40</v>
      </c>
      <c r="L16" s="41" t="s">
        <v>224</v>
      </c>
      <c r="M16" s="630">
        <v>40</v>
      </c>
      <c r="N16" s="41" t="s">
        <v>224</v>
      </c>
      <c r="O16" s="630">
        <v>40</v>
      </c>
      <c r="P16" s="41" t="s">
        <v>224</v>
      </c>
      <c r="Q16" s="630">
        <v>40</v>
      </c>
      <c r="R16" s="41" t="s">
        <v>224</v>
      </c>
      <c r="S16" s="630">
        <v>40</v>
      </c>
      <c r="T16" s="41" t="s">
        <v>224</v>
      </c>
      <c r="U16" s="630">
        <v>40</v>
      </c>
      <c r="V16" s="41" t="s">
        <v>224</v>
      </c>
      <c r="W16" s="630">
        <v>40</v>
      </c>
      <c r="X16" s="41" t="s">
        <v>224</v>
      </c>
      <c r="Y16" s="630">
        <v>40</v>
      </c>
      <c r="Z16" s="41" t="s">
        <v>224</v>
      </c>
      <c r="AA16" s="630">
        <v>40</v>
      </c>
      <c r="AB16" s="41" t="s">
        <v>224</v>
      </c>
      <c r="AC16" s="630">
        <v>40</v>
      </c>
      <c r="AD16" s="41" t="s">
        <v>224</v>
      </c>
      <c r="AE16" s="630">
        <v>40</v>
      </c>
      <c r="AF16" s="41" t="s">
        <v>224</v>
      </c>
      <c r="AG16" s="630">
        <v>40</v>
      </c>
      <c r="AH16" s="43" t="s">
        <v>224</v>
      </c>
      <c r="AL16" s="236"/>
      <c r="AM16" s="259"/>
      <c r="AN16" s="251"/>
      <c r="AO16" s="259"/>
      <c r="AP16" s="251"/>
      <c r="AW16" s="259"/>
      <c r="AX16" s="251"/>
    </row>
    <row r="17" spans="1:50">
      <c r="A17" s="527" t="s">
        <v>211</v>
      </c>
      <c r="B17" s="364" t="s">
        <v>160</v>
      </c>
      <c r="C17" s="630">
        <v>0.08</v>
      </c>
      <c r="D17" s="131" t="s">
        <v>192</v>
      </c>
      <c r="E17" s="630">
        <v>0.08</v>
      </c>
      <c r="F17" s="131" t="s">
        <v>192</v>
      </c>
      <c r="G17" s="630">
        <v>0.08</v>
      </c>
      <c r="H17" s="131" t="s">
        <v>192</v>
      </c>
      <c r="I17" s="630">
        <v>0.08</v>
      </c>
      <c r="J17" s="131" t="s">
        <v>192</v>
      </c>
      <c r="K17" s="630">
        <v>0.08</v>
      </c>
      <c r="L17" s="41" t="s">
        <v>226</v>
      </c>
      <c r="M17" s="630">
        <v>0.08</v>
      </c>
      <c r="N17" s="41" t="s">
        <v>226</v>
      </c>
      <c r="O17" s="630">
        <v>0.08</v>
      </c>
      <c r="P17" s="41" t="s">
        <v>226</v>
      </c>
      <c r="Q17" s="630">
        <v>0.08</v>
      </c>
      <c r="R17" s="41" t="s">
        <v>226</v>
      </c>
      <c r="S17" s="630">
        <v>0.08</v>
      </c>
      <c r="T17" s="41" t="s">
        <v>226</v>
      </c>
      <c r="U17" s="630">
        <v>0.08</v>
      </c>
      <c r="V17" s="41" t="s">
        <v>226</v>
      </c>
      <c r="W17" s="630">
        <v>0.08</v>
      </c>
      <c r="X17" s="41" t="s">
        <v>226</v>
      </c>
      <c r="Y17" s="630">
        <v>0.08</v>
      </c>
      <c r="Z17" s="41" t="s">
        <v>226</v>
      </c>
      <c r="AA17" s="630">
        <v>0.08</v>
      </c>
      <c r="AB17" s="41" t="s">
        <v>226</v>
      </c>
      <c r="AC17" s="630">
        <v>0.08</v>
      </c>
      <c r="AD17" s="41" t="s">
        <v>226</v>
      </c>
      <c r="AE17" s="630">
        <v>0.08</v>
      </c>
      <c r="AF17" s="41" t="s">
        <v>226</v>
      </c>
      <c r="AG17" s="630">
        <v>0.08</v>
      </c>
      <c r="AH17" s="43" t="s">
        <v>226</v>
      </c>
      <c r="AL17" s="236"/>
      <c r="AM17" s="259"/>
      <c r="AN17" s="251"/>
      <c r="AO17" s="263"/>
      <c r="AP17" s="251"/>
      <c r="AT17" s="236"/>
      <c r="AU17" s="259"/>
      <c r="AV17" s="251"/>
      <c r="AW17" s="259"/>
      <c r="AX17" s="251"/>
    </row>
    <row r="18" spans="1:50" ht="18">
      <c r="A18" s="527" t="s">
        <v>215</v>
      </c>
      <c r="B18" s="633" t="s">
        <v>160</v>
      </c>
      <c r="C18" s="630">
        <v>0.9</v>
      </c>
      <c r="D18" s="41" t="s">
        <v>227</v>
      </c>
      <c r="E18" s="630">
        <v>0.9</v>
      </c>
      <c r="F18" s="41" t="s">
        <v>227</v>
      </c>
      <c r="G18" s="630">
        <v>0.9</v>
      </c>
      <c r="H18" s="41" t="s">
        <v>227</v>
      </c>
      <c r="I18" s="630">
        <v>0.9</v>
      </c>
      <c r="J18" s="41" t="s">
        <v>227</v>
      </c>
      <c r="K18" s="639">
        <v>0.48</v>
      </c>
      <c r="L18" s="190" t="s">
        <v>213</v>
      </c>
      <c r="M18" s="639">
        <v>0.48</v>
      </c>
      <c r="N18" s="190" t="s">
        <v>213</v>
      </c>
      <c r="O18" s="639">
        <v>0.48</v>
      </c>
      <c r="P18" s="190" t="s">
        <v>213</v>
      </c>
      <c r="Q18" s="639">
        <v>0.48</v>
      </c>
      <c r="R18" s="41" t="s">
        <v>228</v>
      </c>
      <c r="S18" s="639">
        <v>0.48</v>
      </c>
      <c r="T18" s="41" t="s">
        <v>228</v>
      </c>
      <c r="U18" s="639">
        <v>0.48</v>
      </c>
      <c r="V18" s="41" t="s">
        <v>228</v>
      </c>
      <c r="W18" s="639">
        <v>0.75</v>
      </c>
      <c r="X18" s="212" t="s">
        <v>199</v>
      </c>
      <c r="Y18" s="639">
        <v>0.75</v>
      </c>
      <c r="Z18" s="212" t="s">
        <v>199</v>
      </c>
      <c r="AA18" s="639">
        <v>0.75</v>
      </c>
      <c r="AB18" s="212" t="s">
        <v>199</v>
      </c>
      <c r="AC18" s="639">
        <v>1</v>
      </c>
      <c r="AD18" s="41" t="s">
        <v>216</v>
      </c>
      <c r="AE18" s="639">
        <v>1</v>
      </c>
      <c r="AF18" s="41" t="s">
        <v>216</v>
      </c>
      <c r="AG18" s="639">
        <v>1</v>
      </c>
      <c r="AH18" s="43" t="s">
        <v>216</v>
      </c>
      <c r="AM18" s="264"/>
      <c r="AN18" s="251"/>
      <c r="AO18" s="264"/>
      <c r="AP18" s="251"/>
      <c r="AU18" s="259"/>
      <c r="AV18" s="251"/>
      <c r="AW18" s="264"/>
      <c r="AX18" s="251"/>
    </row>
    <row r="19" spans="1:50" ht="18">
      <c r="A19" s="527" t="s">
        <v>229</v>
      </c>
      <c r="B19" s="633" t="s">
        <v>160</v>
      </c>
      <c r="C19" s="630">
        <v>0.44</v>
      </c>
      <c r="D19" s="41" t="s">
        <v>216</v>
      </c>
      <c r="E19" s="630">
        <v>0.44</v>
      </c>
      <c r="F19" s="41" t="s">
        <v>216</v>
      </c>
      <c r="G19" s="639">
        <v>0.44</v>
      </c>
      <c r="H19" s="41" t="s">
        <v>216</v>
      </c>
      <c r="I19" s="639">
        <v>0.44</v>
      </c>
      <c r="J19" s="41" t="s">
        <v>216</v>
      </c>
      <c r="K19" s="630">
        <v>1</v>
      </c>
      <c r="L19" s="41" t="s">
        <v>216</v>
      </c>
      <c r="M19" s="639">
        <v>1</v>
      </c>
      <c r="N19" s="41" t="s">
        <v>216</v>
      </c>
      <c r="O19" s="639">
        <v>1</v>
      </c>
      <c r="P19" s="41" t="s">
        <v>216</v>
      </c>
      <c r="Q19" s="639">
        <v>1</v>
      </c>
      <c r="R19" s="41" t="s">
        <v>216</v>
      </c>
      <c r="S19" s="639">
        <v>1</v>
      </c>
      <c r="T19" s="41" t="s">
        <v>216</v>
      </c>
      <c r="U19" s="639">
        <v>1</v>
      </c>
      <c r="V19" s="41" t="s">
        <v>216</v>
      </c>
      <c r="W19" s="639">
        <v>1</v>
      </c>
      <c r="X19" s="41" t="s">
        <v>216</v>
      </c>
      <c r="Y19" s="639">
        <v>1</v>
      </c>
      <c r="Z19" s="41" t="s">
        <v>216</v>
      </c>
      <c r="AA19" s="639">
        <v>1</v>
      </c>
      <c r="AB19" s="41" t="s">
        <v>216</v>
      </c>
      <c r="AC19" s="639">
        <v>1</v>
      </c>
      <c r="AD19" s="41" t="s">
        <v>216</v>
      </c>
      <c r="AE19" s="639">
        <v>1</v>
      </c>
      <c r="AF19" s="41" t="s">
        <v>216</v>
      </c>
      <c r="AG19" s="639">
        <v>1</v>
      </c>
      <c r="AH19" s="43" t="s">
        <v>216</v>
      </c>
      <c r="AM19" s="259"/>
      <c r="AN19" s="251"/>
      <c r="AO19" s="259"/>
      <c r="AP19" s="251"/>
      <c r="AU19" s="259"/>
      <c r="AV19" s="251"/>
      <c r="AW19" s="259"/>
      <c r="AX19" s="251"/>
    </row>
    <row r="20" spans="1:50" ht="18">
      <c r="A20" s="527" t="s">
        <v>219</v>
      </c>
      <c r="B20" s="364" t="s">
        <v>220</v>
      </c>
      <c r="C20" s="634">
        <f>(850*25/'General values'!$M$24/'General values'!$N$15)*(10^-6)</f>
        <v>1.9365223640821848E-2</v>
      </c>
      <c r="D20" s="119" t="s">
        <v>230</v>
      </c>
      <c r="E20" s="634">
        <f>(850*25/'General values'!$M$24/'General values'!$N$15)*(10^-6)</f>
        <v>1.9365223640821848E-2</v>
      </c>
      <c r="F20" s="119" t="s">
        <v>230</v>
      </c>
      <c r="G20" s="640">
        <f>((850*25/'General values'!$M$24/'General values'!$N$15)*(10^-6))*2</f>
        <v>3.8730447281643696E-2</v>
      </c>
      <c r="H20" s="119" t="s">
        <v>230</v>
      </c>
      <c r="I20" s="640">
        <f>((850*25/'General values'!$M$24/'General values'!$N$15)*(10^-6))*2</f>
        <v>3.8730447281643696E-2</v>
      </c>
      <c r="J20" s="41" t="s">
        <v>230</v>
      </c>
      <c r="K20" s="548">
        <v>28.613499999999998</v>
      </c>
      <c r="L20" s="119" t="s">
        <v>1307</v>
      </c>
      <c r="M20" s="548">
        <v>28.613499999999998</v>
      </c>
      <c r="N20" s="119" t="s">
        <v>1307</v>
      </c>
      <c r="O20" s="548">
        <v>28.613499999999998</v>
      </c>
      <c r="P20" s="119" t="s">
        <v>1307</v>
      </c>
      <c r="Q20" s="364">
        <f>(28.1+81)/2</f>
        <v>54.55</v>
      </c>
      <c r="R20" s="131" t="s">
        <v>199</v>
      </c>
      <c r="S20" s="364">
        <f>(28.1+81)/2</f>
        <v>54.55</v>
      </c>
      <c r="T20" s="131" t="s">
        <v>199</v>
      </c>
      <c r="U20" s="364">
        <f>(28.1+81)/2</f>
        <v>54.55</v>
      </c>
      <c r="V20" s="131" t="s">
        <v>199</v>
      </c>
      <c r="W20" s="548">
        <v>27</v>
      </c>
      <c r="X20" s="41" t="s">
        <v>231</v>
      </c>
      <c r="Y20" s="548">
        <v>27</v>
      </c>
      <c r="Z20" s="41" t="s">
        <v>231</v>
      </c>
      <c r="AA20" s="548">
        <v>27</v>
      </c>
      <c r="AB20" s="41" t="s">
        <v>231</v>
      </c>
      <c r="AC20" s="630" t="s">
        <v>222</v>
      </c>
      <c r="AD20" s="119"/>
      <c r="AE20" s="630" t="s">
        <v>222</v>
      </c>
      <c r="AF20" s="119"/>
      <c r="AG20" s="630" t="s">
        <v>222</v>
      </c>
      <c r="AH20" s="43"/>
      <c r="AM20" s="264"/>
      <c r="AN20" s="251"/>
      <c r="AO20" s="265"/>
      <c r="AP20" s="251"/>
      <c r="AU20" s="264"/>
      <c r="AV20" s="251"/>
      <c r="AW20" s="264"/>
      <c r="AX20" s="251"/>
    </row>
    <row r="21" spans="1:50" ht="18">
      <c r="A21" s="527" t="s">
        <v>232</v>
      </c>
      <c r="B21" s="364" t="s">
        <v>209</v>
      </c>
      <c r="C21" s="630">
        <f>25/11.854</f>
        <v>2.108992745064957</v>
      </c>
      <c r="D21" s="119" t="s">
        <v>230</v>
      </c>
      <c r="E21" s="630">
        <f>25/11.854</f>
        <v>2.108992745064957</v>
      </c>
      <c r="F21" s="119" t="s">
        <v>230</v>
      </c>
      <c r="G21" s="630">
        <f>25/11.854</f>
        <v>2.108992745064957</v>
      </c>
      <c r="H21" s="119" t="s">
        <v>230</v>
      </c>
      <c r="I21" s="630">
        <f>25/11.854</f>
        <v>2.108992745064957</v>
      </c>
      <c r="J21" s="41" t="s">
        <v>230</v>
      </c>
      <c r="K21" s="364">
        <v>500000</v>
      </c>
      <c r="L21" s="119" t="s">
        <v>1307</v>
      </c>
      <c r="M21" s="364">
        <v>500000</v>
      </c>
      <c r="N21" s="119" t="s">
        <v>1307</v>
      </c>
      <c r="O21" s="364">
        <v>500000</v>
      </c>
      <c r="P21" s="119" t="s">
        <v>1307</v>
      </c>
      <c r="Q21" s="364">
        <v>500000</v>
      </c>
      <c r="R21" s="41" t="s">
        <v>231</v>
      </c>
      <c r="S21" s="364">
        <v>500000</v>
      </c>
      <c r="T21" s="41" t="s">
        <v>231</v>
      </c>
      <c r="U21" s="364">
        <v>500000</v>
      </c>
      <c r="V21" s="41" t="s">
        <v>231</v>
      </c>
      <c r="W21" s="364">
        <v>40000</v>
      </c>
      <c r="X21" s="41" t="s">
        <v>231</v>
      </c>
      <c r="Y21" s="364">
        <v>40000</v>
      </c>
      <c r="Z21" s="41" t="s">
        <v>231</v>
      </c>
      <c r="AA21" s="364">
        <v>40000</v>
      </c>
      <c r="AB21" s="41" t="s">
        <v>231</v>
      </c>
      <c r="AC21" s="630" t="s">
        <v>222</v>
      </c>
      <c r="AD21" s="119"/>
      <c r="AE21" s="630" t="s">
        <v>222</v>
      </c>
      <c r="AF21" s="119"/>
      <c r="AG21" s="630" t="s">
        <v>222</v>
      </c>
      <c r="AH21" s="43"/>
    </row>
    <row r="22" spans="1:50" ht="18">
      <c r="A22" s="545" t="s">
        <v>233</v>
      </c>
      <c r="B22" s="546" t="s">
        <v>59</v>
      </c>
      <c r="C22" s="635">
        <v>160</v>
      </c>
      <c r="D22" s="188" t="s">
        <v>230</v>
      </c>
      <c r="E22" s="635">
        <v>160</v>
      </c>
      <c r="F22" s="188" t="s">
        <v>230</v>
      </c>
      <c r="G22" s="635">
        <v>160</v>
      </c>
      <c r="H22" s="188" t="s">
        <v>230</v>
      </c>
      <c r="I22" s="635">
        <v>160</v>
      </c>
      <c r="J22" s="135" t="s">
        <v>230</v>
      </c>
      <c r="K22" s="641" t="s">
        <v>1308</v>
      </c>
      <c r="L22" s="135"/>
      <c r="M22" s="642" t="s">
        <v>1308</v>
      </c>
      <c r="N22" s="135"/>
      <c r="O22" s="642" t="s">
        <v>1308</v>
      </c>
      <c r="P22" s="135"/>
      <c r="Q22" s="546">
        <f>(180+60)/2</f>
        <v>120</v>
      </c>
      <c r="R22" s="135" t="s">
        <v>231</v>
      </c>
      <c r="S22" s="546">
        <f>(180+60)/2</f>
        <v>120</v>
      </c>
      <c r="T22" s="135" t="s">
        <v>231</v>
      </c>
      <c r="U22" s="546">
        <f>(180+60)/2</f>
        <v>120</v>
      </c>
      <c r="V22" s="135" t="s">
        <v>231</v>
      </c>
      <c r="W22" s="546">
        <f>(10+230)/2</f>
        <v>120</v>
      </c>
      <c r="X22" s="135" t="s">
        <v>231</v>
      </c>
      <c r="Y22" s="546">
        <f>(10+230)/2</f>
        <v>120</v>
      </c>
      <c r="Z22" s="135" t="s">
        <v>231</v>
      </c>
      <c r="AA22" s="546">
        <f>(10+230)/2</f>
        <v>120</v>
      </c>
      <c r="AB22" s="135" t="s">
        <v>231</v>
      </c>
      <c r="AC22" s="644" t="s">
        <v>222</v>
      </c>
      <c r="AD22" s="188"/>
      <c r="AE22" s="644" t="s">
        <v>222</v>
      </c>
      <c r="AF22" s="188"/>
      <c r="AG22" s="644" t="s">
        <v>222</v>
      </c>
      <c r="AH22" s="136"/>
      <c r="AP22" s="254"/>
    </row>
    <row r="23" spans="1:50">
      <c r="C23" s="250"/>
      <c r="D23" s="250"/>
      <c r="E23" s="251"/>
      <c r="F23" s="251"/>
      <c r="I23" s="280"/>
    </row>
    <row r="24" spans="1:50">
      <c r="C24" s="158"/>
      <c r="D24" s="158"/>
      <c r="E24" s="251"/>
      <c r="F24" s="251"/>
      <c r="I24" s="280"/>
      <c r="Q24" s="158"/>
      <c r="AK24" s="238"/>
      <c r="AM24" s="220"/>
    </row>
    <row r="25" spans="1:50">
      <c r="C25" s="158"/>
      <c r="D25" s="158"/>
      <c r="E25" s="251"/>
      <c r="F25" s="251"/>
      <c r="K25" s="173"/>
      <c r="Q25" s="252"/>
      <c r="AE25" s="176"/>
    </row>
    <row r="26" spans="1:50">
      <c r="C26" s="253"/>
      <c r="D26" s="253"/>
      <c r="E26" s="251"/>
      <c r="F26" s="251"/>
      <c r="W26" s="254"/>
    </row>
    <row r="27" spans="1:50">
      <c r="C27" s="255"/>
      <c r="D27" s="158"/>
      <c r="E27" s="256"/>
      <c r="F27" s="251"/>
      <c r="K27" s="173"/>
      <c r="L27" s="251"/>
    </row>
    <row r="28" spans="1:50">
      <c r="L28" s="251"/>
      <c r="AK28" s="236"/>
    </row>
    <row r="29" spans="1:50">
      <c r="C29" s="158"/>
      <c r="D29" s="158"/>
      <c r="K29" s="173"/>
      <c r="L29" s="251"/>
    </row>
    <row r="30" spans="1:50">
      <c r="AC30" s="173"/>
    </row>
    <row r="34" spans="27:27">
      <c r="AA34" s="254"/>
    </row>
    <row r="35" spans="27:27">
      <c r="AA35" s="254"/>
    </row>
    <row r="36" spans="27:27">
      <c r="AA36" s="254"/>
    </row>
  </sheetData>
  <sheetProtection algorithmName="SHA-512" hashValue="t9jaeRf8qJdlB1mKrzlp7Vn+wFfF38mbu8iuSaOSqZhfKIgJOH/jedSmTNZs6+nIpj2HACUdDViHoYgHMVhfBg==" saltValue="PKeQWPymeDLuz2OMzYes6g==" spinCount="100000" sheet="1" objects="1" scenarios="1"/>
  <mergeCells count="47">
    <mergeCell ref="AU1:AX1"/>
    <mergeCell ref="AU2:AV2"/>
    <mergeCell ref="AW2:AX2"/>
    <mergeCell ref="AM2:AN2"/>
    <mergeCell ref="AO2:AP2"/>
    <mergeCell ref="AM1:AP1"/>
    <mergeCell ref="AK1:AL3"/>
    <mergeCell ref="AS1:AT3"/>
    <mergeCell ref="A1:B5"/>
    <mergeCell ref="C2:D3"/>
    <mergeCell ref="C1:J1"/>
    <mergeCell ref="E2:F3"/>
    <mergeCell ref="G2:H3"/>
    <mergeCell ref="I2:J3"/>
    <mergeCell ref="C4:D4"/>
    <mergeCell ref="E4:F4"/>
    <mergeCell ref="G4:H4"/>
    <mergeCell ref="I4:J4"/>
    <mergeCell ref="K4:L4"/>
    <mergeCell ref="K3:L3"/>
    <mergeCell ref="M3:N3"/>
    <mergeCell ref="M4:N4"/>
    <mergeCell ref="W4:X4"/>
    <mergeCell ref="Y3:Z3"/>
    <mergeCell ref="Y4:Z4"/>
    <mergeCell ref="O3:P3"/>
    <mergeCell ref="O4:P4"/>
    <mergeCell ref="Q3:R3"/>
    <mergeCell ref="Q4:R4"/>
    <mergeCell ref="S3:T3"/>
    <mergeCell ref="S4:T4"/>
    <mergeCell ref="AG3:AH3"/>
    <mergeCell ref="AG4:AH4"/>
    <mergeCell ref="K1:AH1"/>
    <mergeCell ref="K2:P2"/>
    <mergeCell ref="Q2:V2"/>
    <mergeCell ref="W2:AB2"/>
    <mergeCell ref="AC2:AH2"/>
    <mergeCell ref="AA3:AB3"/>
    <mergeCell ref="AA4:AB4"/>
    <mergeCell ref="AC3:AD3"/>
    <mergeCell ref="AC4:AD4"/>
    <mergeCell ref="AE3:AF3"/>
    <mergeCell ref="AE4:AF4"/>
    <mergeCell ref="U3:V3"/>
    <mergeCell ref="U4:V4"/>
    <mergeCell ref="W3:X3"/>
  </mergeCells>
  <phoneticPr fontId="11" type="noConversion"/>
  <hyperlinks>
    <hyperlink ref="AN5" r:id="rId1" xr:uid="{F9DF1765-3198-4DF9-AC72-C409A491DFD9}"/>
    <hyperlink ref="AN13" r:id="rId2" xr:uid="{A335A0C2-4DBC-47BF-8070-DCBA29D03169}"/>
    <hyperlink ref="AP13" r:id="rId3" xr:uid="{84852F87-E49E-4F44-BAFB-DF85EAC15407}"/>
    <hyperlink ref="AP14" r:id="rId4" xr:uid="{8E1005CD-9712-4BAD-A891-3A9720A76DE6}"/>
    <hyperlink ref="AN14" r:id="rId5" xr:uid="{F379473A-4641-47E7-B8DB-3D5CBD036C12}"/>
    <hyperlink ref="AX13" r:id="rId6" xr:uid="{D2BEADF8-0D8C-4F48-A69B-9DCF40F08C3A}"/>
    <hyperlink ref="AX14" r:id="rId7" xr:uid="{432186E4-553C-4081-AF27-644E6E059DC1}"/>
    <hyperlink ref="AV13" r:id="rId8" xr:uid="{6F6992F5-A25D-4A13-9C95-E42E5115B8A9}"/>
    <hyperlink ref="AV14" r:id="rId9" xr:uid="{AE9164BA-CC0E-4C75-9E51-5BED969B10F8}"/>
    <hyperlink ref="AV5" r:id="rId10" xr:uid="{E8E01E6C-EF72-41F7-8F5A-D550A2D015EC}"/>
    <hyperlink ref="AN11" r:id="rId11" xr:uid="{0152532F-638E-41BB-B72B-F320E49DE681}"/>
    <hyperlink ref="AP11" r:id="rId12" xr:uid="{8300B20D-8A98-4CF1-BDBE-88550B2FF135}"/>
    <hyperlink ref="AN10" r:id="rId13" xr:uid="{92FD3D93-18FF-4627-AE9C-D6A2D7FD2577}"/>
    <hyperlink ref="AP10" r:id="rId14" xr:uid="{A62AF0DD-11A3-4070-A213-9750994A1E67}"/>
    <hyperlink ref="AV11" r:id="rId15" xr:uid="{52B93456-BA66-4891-B780-8D311359F8AE}"/>
    <hyperlink ref="AX11" r:id="rId16" xr:uid="{BB7D3003-BF29-4943-871D-A1E3C8DC28B4}"/>
    <hyperlink ref="AV10" r:id="rId17" xr:uid="{009FCA79-F5E7-4BCD-8C35-7A5A92CC1041}"/>
    <hyperlink ref="AX10" r:id="rId18" xr:uid="{67E30563-6E28-4CEE-BCA9-DE9979926DA7}"/>
    <hyperlink ref="AN12" r:id="rId19" xr:uid="{B202F6B6-C9CB-4ECD-8425-825BE5F0FADA}"/>
    <hyperlink ref="AP12" r:id="rId20" xr:uid="{FBCD6C46-D342-4ADA-B826-E1DC4F46AED5}"/>
    <hyperlink ref="AV12" r:id="rId21" xr:uid="{59638EF6-FE51-4D66-8FED-CAF952796F10}"/>
    <hyperlink ref="AX12" r:id="rId22" xr:uid="{E458C750-FCA6-42A2-832E-31806405C697}"/>
    <hyperlink ref="AD18" r:id="rId23" xr:uid="{F9E130C5-AE2E-469F-9A3F-0952FF01C072}"/>
    <hyperlink ref="AF18" r:id="rId24" xr:uid="{C0F222F0-4984-4FF7-819A-9AE215F7A2D6}"/>
    <hyperlink ref="AH18" r:id="rId25" xr:uid="{96F46CBE-3E3D-4C15-81BA-67A7D8A918A2}"/>
    <hyperlink ref="AD19" r:id="rId26" xr:uid="{47240178-D73C-4906-8361-D04769E1C66F}"/>
    <hyperlink ref="AF19" r:id="rId27" xr:uid="{D9348D4F-718D-4EEE-A6CE-DDF48ABBC192}"/>
    <hyperlink ref="AH19" r:id="rId28" xr:uid="{1549E7E2-98A7-41B6-94EA-160E9382B190}"/>
    <hyperlink ref="AD15" r:id="rId29" xr:uid="{FEF0F172-036C-42F1-8304-9AEC62250259}"/>
    <hyperlink ref="AF15" r:id="rId30" xr:uid="{BF5E2444-0A2A-457B-9A67-B41AE6F0EDC1}"/>
    <hyperlink ref="AH15" r:id="rId31" xr:uid="{08AE0D4E-B3A0-4463-AFB1-43E135FEFCF9}"/>
    <hyperlink ref="AD16" r:id="rId32" xr:uid="{91412C87-9AB2-4BE0-B9CC-C90559177EA7}"/>
    <hyperlink ref="AF16" r:id="rId33" xr:uid="{20DBA782-AEB9-4E45-8BFE-4154A4481368}"/>
    <hyperlink ref="AH16" r:id="rId34" xr:uid="{EC01F9F9-CC85-47D3-B11D-7292D305985D}"/>
    <hyperlink ref="AD17" r:id="rId35" location="bib36" xr:uid="{1A12882A-8779-428D-AEF5-3F37AD1EA741}"/>
    <hyperlink ref="AF17" r:id="rId36" location="bib36" xr:uid="{E4DCCAC2-4A39-4E08-9472-CEA3BB908C12}"/>
    <hyperlink ref="AH17" r:id="rId37" location="bib36" xr:uid="{5D147EC7-9D22-45FE-B6FB-8DD498BF2568}"/>
    <hyperlink ref="AD8" r:id="rId38" xr:uid="{66D2A8A0-D84C-4F5D-A6DF-D10BFEC55121}"/>
    <hyperlink ref="AF8" r:id="rId39" xr:uid="{32016DE2-4D13-4FD0-9AE6-CD5C663D8AE3}"/>
    <hyperlink ref="AH8" r:id="rId40" xr:uid="{1CA738C2-15A5-4BD9-9163-4FD177AD663B}"/>
    <hyperlink ref="D8" r:id="rId41" xr:uid="{2A9E3C34-07E5-4351-8183-493EFB1517B5}"/>
    <hyperlink ref="H8" r:id="rId42" xr:uid="{18DA3327-A15B-4D72-A614-D5508C1B380B}"/>
    <hyperlink ref="J8" r:id="rId43" xr:uid="{11B31B63-4F2F-461A-B7CC-AE1E076CA346}"/>
    <hyperlink ref="L8" r:id="rId44" xr:uid="{66FCFAEA-2F1D-47A1-827F-8B91E395B93D}"/>
    <hyperlink ref="N8" r:id="rId45" xr:uid="{7932A566-6F2A-42C3-A6A2-6066C6A5ED16}"/>
    <hyperlink ref="P8" r:id="rId46" xr:uid="{42EBFAD1-D73C-42DE-A4E8-8460825E9E09}"/>
    <hyperlink ref="R8" r:id="rId47" xr:uid="{9D831C0D-A881-40CD-A13C-3BD20EF82D07}"/>
    <hyperlink ref="T8" r:id="rId48" xr:uid="{E161078D-5DB4-4810-A4B6-3F24AF3C32F4}"/>
    <hyperlink ref="V8" r:id="rId49" xr:uid="{B2E9B032-60F7-4B2D-BFB1-D9373846219F}"/>
    <hyperlink ref="X8" r:id="rId50" xr:uid="{354B3D16-2F1D-4F7D-9929-6F342AC404B4}"/>
    <hyperlink ref="Z8" r:id="rId51" xr:uid="{F0C82D93-0556-4C82-BD75-E69ABB76432A}"/>
    <hyperlink ref="AB8" r:id="rId52" xr:uid="{913C4FB2-F102-4C20-A74A-8B852C32A287}"/>
    <hyperlink ref="D19" r:id="rId53" xr:uid="{F62EF487-2AA5-4A5D-9B6C-148FE453BD12}"/>
    <hyperlink ref="F19" r:id="rId54" xr:uid="{E845D7C8-C9EA-4967-9160-05FE1E32C461}"/>
    <hyperlink ref="H19" r:id="rId55" xr:uid="{D625973B-FEC9-47A6-AA44-703DC9F8A030}"/>
    <hyperlink ref="J19" r:id="rId56" xr:uid="{AD531AE2-172D-434B-AADE-446BD078BD1E}"/>
    <hyperlink ref="L18" r:id="rId57" display="NREL, 1998" xr:uid="{3C3E7298-1B61-4CCE-8337-28219D6AF16C}"/>
    <hyperlink ref="L19" r:id="rId58" xr:uid="{8D1035C0-06AE-4926-976B-D091DCF8456A}"/>
    <hyperlink ref="N19" r:id="rId59" xr:uid="{C7285D0E-C7FC-420C-82EE-B0CEA6C8F2E1}"/>
    <hyperlink ref="P19" r:id="rId60" xr:uid="{5013C9B2-4BAF-43F7-B9C3-EA48D7E0A749}"/>
    <hyperlink ref="R19" r:id="rId61" xr:uid="{685BA8B9-2787-4037-8937-692199D5895E}"/>
    <hyperlink ref="T19" r:id="rId62" xr:uid="{EE812616-3BDC-42AD-AEF5-9F42792E8719}"/>
    <hyperlink ref="V19" r:id="rId63" xr:uid="{DB64DDA7-FBB9-40A4-8A2C-7FFCF6B57E8E}"/>
    <hyperlink ref="X19" r:id="rId64" xr:uid="{37E4124C-7CB3-4E5A-8E2F-CC7059901E83}"/>
    <hyperlink ref="F20" r:id="rId65" xr:uid="{13646BB6-0079-4C0C-A4E3-0233BBDB8285}"/>
    <hyperlink ref="J20" r:id="rId66" xr:uid="{F67720C7-26DC-433E-907A-5C247CE1CB99}"/>
    <hyperlink ref="J21" r:id="rId67" xr:uid="{E59C06D5-BF86-4810-ABA2-F9939A9ABB89}"/>
    <hyperlink ref="D15" r:id="rId68" xr:uid="{7DF6F9BE-87F4-40C7-A7A9-AB4156F3D2A6}"/>
    <hyperlink ref="F15" r:id="rId69" xr:uid="{F7E42490-97A2-4E4B-8771-E914F5A5198B}"/>
    <hyperlink ref="H15" r:id="rId70" xr:uid="{1FB4FE5B-AF60-44A1-865B-F828EDE24D92}"/>
    <hyperlink ref="J15" r:id="rId71" xr:uid="{42AB55D1-A0D2-4E26-BD91-CF42F2D70842}"/>
    <hyperlink ref="L16" r:id="rId72" xr:uid="{22DFCD22-CD18-4BCE-B393-1BCD0CAF9F5E}"/>
    <hyperlink ref="N16" r:id="rId73" xr:uid="{D56EE309-9DBF-4E6A-BA30-87AD5D294265}"/>
    <hyperlink ref="P16" r:id="rId74" xr:uid="{C5DE8590-828E-4426-9F59-CD20A6220B8D}"/>
    <hyperlink ref="R16" r:id="rId75" xr:uid="{3755A299-896F-4A16-AE18-CF87BC2C315E}"/>
    <hyperlink ref="T16" r:id="rId76" xr:uid="{A2285EF3-0C60-41E6-8587-D9B1B75A0884}"/>
    <hyperlink ref="V16" r:id="rId77" xr:uid="{198A8DD1-6442-4237-828F-4F40C4E93B9F}"/>
    <hyperlink ref="X16" r:id="rId78" xr:uid="{3EDDF957-070D-421E-B1F3-6BD58847CCEB}"/>
    <hyperlink ref="L17" r:id="rId79" location="bib36" xr:uid="{107F31D8-8778-43BE-91D9-9CA05CFC2651}"/>
    <hyperlink ref="N17" r:id="rId80" location="bib36" xr:uid="{859FBCA3-D35C-4356-8AFD-D12A5858F747}"/>
    <hyperlink ref="P17" r:id="rId81" location="bib36" xr:uid="{FA07B36B-185A-4F14-B5D2-48E1C274C57E}"/>
    <hyperlink ref="R17" r:id="rId82" location="bib36" xr:uid="{3C488B7A-3DEF-4FF4-BBD4-47B92D008F5E}"/>
    <hyperlink ref="T17" r:id="rId83" location="bib36" xr:uid="{568362A3-33EE-4557-AFFE-389DEC9720D7}"/>
    <hyperlink ref="V17" r:id="rId84" location="bib36" xr:uid="{DD17549A-E8FA-48E2-8A92-D6D97395145C}"/>
    <hyperlink ref="X17" r:id="rId85" location="bib36" xr:uid="{AD943C28-7806-41BF-B9BB-948F2289D4FB}"/>
    <hyperlink ref="R13" r:id="rId86" display="Muhammed, 2022" xr:uid="{EB3F60FC-286B-4C42-AA46-1F9584EA0369}"/>
    <hyperlink ref="T13" r:id="rId87" display="Muhammed, 2022" xr:uid="{D4CA46D4-2B40-4084-81B4-622681A009E7}"/>
    <hyperlink ref="V13" r:id="rId88" xr:uid="{4F08B6B2-9BB7-4A32-98C1-5A3567C3FD36}"/>
    <hyperlink ref="R21" r:id="rId89" xr:uid="{FDE89CD9-B418-422E-AE44-7ADCC55EE05D}"/>
    <hyperlink ref="R22" r:id="rId90" xr:uid="{E2270A69-99DB-4141-B555-66060E01E34A}"/>
    <hyperlink ref="T21" r:id="rId91" xr:uid="{DC6CB148-F5E5-46A8-908F-F9AF52C2BE85}"/>
    <hyperlink ref="V21" r:id="rId92" xr:uid="{6CD47A04-6CA9-4978-AB96-77EA698D447F}"/>
    <hyperlink ref="X20" r:id="rId93" xr:uid="{711F1815-C5EA-4216-84F8-EC1D782062EB}"/>
    <hyperlink ref="X21" r:id="rId94" xr:uid="{3E37DF88-08E8-4CD1-BC20-46C2F30559B0}"/>
    <hyperlink ref="X22" r:id="rId95" xr:uid="{B37EB0A1-328D-4FB2-A6D4-61604BB883EE}"/>
    <hyperlink ref="R14" r:id="rId96" xr:uid="{EE4304E8-E3DA-4B44-B2E9-B8F83AAE728D}"/>
    <hyperlink ref="T14" r:id="rId97" xr:uid="{E48F0592-72A7-42DD-83A4-8B6B7347CFBA}"/>
    <hyperlink ref="V14" r:id="rId98" xr:uid="{F9AAAD30-1B51-4564-B641-77338ECC2988}"/>
    <hyperlink ref="L14" r:id="rId99" xr:uid="{687AA0D0-A879-466E-AE49-95A332F43A78}"/>
    <hyperlink ref="N14" r:id="rId100" xr:uid="{24BC6D05-0575-46BB-ADDE-9B343660BBEA}"/>
    <hyperlink ref="P14" r:id="rId101" xr:uid="{C6780C8B-A6BF-4FC9-935D-689301FB5B20}"/>
    <hyperlink ref="F22" r:id="rId102" xr:uid="{4E497320-2C3E-4B3E-A935-357C6FE50543}"/>
    <hyperlink ref="J22" r:id="rId103" xr:uid="{3587FB82-0C66-4B95-ACFD-DDDAA3080C75}"/>
    <hyperlink ref="T22" r:id="rId104" xr:uid="{9A5FBC50-408C-4AC7-920B-08D40C1BBCC1}"/>
    <hyperlink ref="V22" r:id="rId105" xr:uid="{41F91E4F-F43A-4851-8C4E-CEAA5F9B4A46}"/>
    <hyperlink ref="F21" r:id="rId106" display="https://www.energy.gov/eere/fuelcells/doe-technical-targets-hydrogen-delivery" xr:uid="{870FEBCE-27A7-4694-8819-5FF7308E6DEF}"/>
    <hyperlink ref="H20" r:id="rId107" xr:uid="{F3F2E9B1-9936-4AF9-81C6-A6672AD8172F}"/>
    <hyperlink ref="H21" r:id="rId108" xr:uid="{8B52AD17-A53D-4B25-86AC-1C91F143183E}"/>
    <hyperlink ref="H22" r:id="rId109" xr:uid="{0151D8B2-E71C-45A4-8EAE-557BCBC60D39}"/>
    <hyperlink ref="D20" r:id="rId110" xr:uid="{382B26C7-76C5-4D03-B2F1-C6FF14F638C3}"/>
    <hyperlink ref="D22" r:id="rId111" xr:uid="{649507DF-BD0C-46C7-AD6C-34A1ABB0B5AA}"/>
    <hyperlink ref="D21" r:id="rId112" display="https://www.energy.gov/eere/fuelcells/doe-technical-targets-hydrogen-delivery" xr:uid="{E42FCBA0-A2F8-47C6-85C4-AF2A8EEAF2AB}"/>
    <hyperlink ref="AV9" r:id="rId113" xr:uid="{2D43B3D4-F7DC-4B17-A433-E29984D8C256}"/>
    <hyperlink ref="AX9" r:id="rId114" xr:uid="{2710DDCF-8EDB-469C-8238-D2252CF3BFB5}"/>
    <hyperlink ref="R9" r:id="rId115" xr:uid="{FDFBFB20-B86A-4FD5-B65A-23CC3A59BDF6}"/>
    <hyperlink ref="V9" r:id="rId116" xr:uid="{90FC965F-A7D3-4C2E-A42A-5F731B246E06}"/>
    <hyperlink ref="T9" r:id="rId117" xr:uid="{DC85524C-CB67-45D9-A2BB-B4A8BDE4EEB9}"/>
    <hyperlink ref="X9" r:id="rId118" xr:uid="{C98B9662-51E3-4910-B6C2-7EAF745AC0BD}"/>
    <hyperlink ref="Z9" r:id="rId119" xr:uid="{8F000A6B-DBDE-4B76-B071-903465D9577C}"/>
    <hyperlink ref="AB9" r:id="rId120" xr:uid="{1D627A2A-BC6E-476F-BEAE-A015C0913A01}"/>
    <hyperlink ref="AD9" r:id="rId121" xr:uid="{36078577-B12B-429C-A503-5B801A921068}"/>
    <hyperlink ref="AF9" r:id="rId122" xr:uid="{1D63E9BC-C23F-4D89-8CDE-C0987784BC59}"/>
    <hyperlink ref="AH9" r:id="rId123" xr:uid="{31D4152E-B120-4075-8DA4-063C552BF29F}"/>
    <hyperlink ref="P9" r:id="rId124" xr:uid="{FFFE7E52-801E-485E-8486-72779FB5C344}"/>
    <hyperlink ref="N9" r:id="rId125" xr:uid="{16EAEA66-0048-400B-B0A0-C45CC805D3E6}"/>
    <hyperlink ref="L9" r:id="rId126" xr:uid="{DFB66F12-39C6-4DEB-9906-1677AC501D30}"/>
    <hyperlink ref="D11" r:id="rId127" xr:uid="{313ECCE1-EFB9-4F0E-9AA5-27634BD35C28}"/>
    <hyperlink ref="F11" r:id="rId128" xr:uid="{66EE9D1B-5A95-408A-8E35-EC66FEAC4A1E}"/>
    <hyperlink ref="H11" r:id="rId129" xr:uid="{26030A7A-0FD1-4B0D-B2B2-357F53526949}"/>
    <hyperlink ref="J11" r:id="rId130" xr:uid="{585D33C8-384D-4228-8B65-B03AC8D2D241}"/>
    <hyperlink ref="R12" r:id="rId131" xr:uid="{8D42764C-E34D-4F7A-9735-E2DA78BBA251}"/>
    <hyperlink ref="T12" r:id="rId132" xr:uid="{E22629FF-52BA-4D71-BA96-679624237A7C}"/>
    <hyperlink ref="V12" r:id="rId133" xr:uid="{ECBC7033-ED2F-4A31-A29D-57CEC5B4AE96}"/>
    <hyperlink ref="D18" r:id="rId134" xr:uid="{31EC24ED-FA8D-4106-AF4D-1B38F67AB1E9}"/>
    <hyperlink ref="F18" r:id="rId135" xr:uid="{33CCC81D-5373-4687-8B04-F5360B109E71}"/>
    <hyperlink ref="H18" r:id="rId136" xr:uid="{37733ECD-530F-4DC8-961C-189928038957}"/>
    <hyperlink ref="J18" r:id="rId137" xr:uid="{9B4542ED-3C16-4283-B15F-C571C59C2267}"/>
    <hyperlink ref="AP5" r:id="rId138" xr:uid="{F97C0A1A-7BEC-4D7D-9DCA-19D1A082740F}"/>
    <hyperlink ref="AX5" r:id="rId139" xr:uid="{B3102170-6918-49A9-9C5B-52CD728B9B6C}"/>
    <hyperlink ref="R18" r:id="rId140" xr:uid="{106E1C6A-BA66-473B-BA1B-79AB68D76D5D}"/>
    <hyperlink ref="T18" r:id="rId141" xr:uid="{474E63E8-6DA9-4B16-B381-77EDD4C6D449}"/>
    <hyperlink ref="V18" r:id="rId142" xr:uid="{C90C9AFE-F5AD-420B-B360-8EDA04E316B7}"/>
    <hyperlink ref="N18" r:id="rId143" display="NREL, 1998" xr:uid="{A025C101-8960-4CE5-B6B5-5B05C1ED1263}"/>
    <hyperlink ref="P18" r:id="rId144" display="NREL, 1998" xr:uid="{8CAF2688-8955-415C-8C43-CF9A55965043}"/>
    <hyperlink ref="L7" r:id="rId145" xr:uid="{41ACD278-8050-4134-8E8C-30D9AD14EF91}"/>
    <hyperlink ref="N7" r:id="rId146" xr:uid="{EFCB98C6-35F2-445B-8936-6A4153D8CE6F}"/>
    <hyperlink ref="P7" r:id="rId147" xr:uid="{8B188586-9384-4910-87A1-E67D3EA08B22}"/>
    <hyperlink ref="AD7" r:id="rId148" xr:uid="{9DD281A2-0AAF-40CC-933F-5A768C2A30FF}"/>
    <hyperlink ref="AF7" r:id="rId149" xr:uid="{30404B5D-7A25-4876-8143-1547511CB524}"/>
    <hyperlink ref="AH7" r:id="rId150" xr:uid="{A84A3197-4D21-4D5D-947E-ACC126797C32}"/>
    <hyperlink ref="L20" r:id="rId151" xr:uid="{2036E676-99C7-4E1A-B65B-05A5A535FB9D}"/>
    <hyperlink ref="L21" r:id="rId152" xr:uid="{D9D23FD3-ADE9-41C3-B56D-8D489310887F}"/>
    <hyperlink ref="N20" r:id="rId153" xr:uid="{64D6A5D1-0181-47F1-B15C-14AD099D3D88}"/>
    <hyperlink ref="N21" r:id="rId154" xr:uid="{528075C5-18D2-4B84-84DC-BCCE292AC97F}"/>
    <hyperlink ref="P20" r:id="rId155" xr:uid="{29D098C4-8E3A-49ED-BB30-009DA4F0CB31}"/>
    <hyperlink ref="P21" r:id="rId156" xr:uid="{DA9B9B73-2963-4EA7-BBB6-4529DA12DE81}"/>
    <hyperlink ref="Z19" r:id="rId157" xr:uid="{636A30CF-A81A-450B-8F77-A206A00E7CA9}"/>
    <hyperlink ref="Z16" r:id="rId158" xr:uid="{5F0BA2F9-2B33-48BF-B25F-51384716F70D}"/>
    <hyperlink ref="Z17" r:id="rId159" location="bib36" xr:uid="{C915A3F2-5C7C-47B2-A7C6-1AE89380AD51}"/>
    <hyperlink ref="Z20" r:id="rId160" xr:uid="{2DD093D1-F4B2-499E-9564-A12DB27F8281}"/>
    <hyperlink ref="Z21" r:id="rId161" xr:uid="{20C9975D-B634-48D2-AD28-2462AA0DD538}"/>
    <hyperlink ref="Z22" r:id="rId162" xr:uid="{D4164AA5-2CF2-4290-B1E5-BAA7875E8CA8}"/>
    <hyperlink ref="AB19" r:id="rId163" xr:uid="{9D489143-F318-446A-8F66-C7DB3BD84C0E}"/>
    <hyperlink ref="AB16" r:id="rId164" xr:uid="{AA9D8E18-679A-43ED-AF88-F48FB0C64847}"/>
    <hyperlink ref="AB17" r:id="rId165" location="bib36" xr:uid="{85DBBE06-C655-4772-AB78-C7DBF97F58E4}"/>
    <hyperlink ref="AB20" r:id="rId166" xr:uid="{CD9941F9-691C-4D20-96A9-CF16B9457DDF}"/>
    <hyperlink ref="AB21" r:id="rId167" xr:uid="{85858ADF-4018-47FB-9286-52D98A607BA6}"/>
    <hyperlink ref="AB22" r:id="rId168" xr:uid="{CFB718F7-ADC3-4A1F-B40B-55FFF64818B0}"/>
    <hyperlink ref="L15" r:id="rId169" xr:uid="{DED3773A-7BD9-4D1D-BD79-FFCAAD1E6D6B}"/>
    <hyperlink ref="N15" r:id="rId170" xr:uid="{4D49A263-D3DE-459C-8CF6-9974A2B9A15B}"/>
    <hyperlink ref="P15" r:id="rId171" xr:uid="{4A6A8843-5F8F-4CA8-BC08-D83C9F0823DE}"/>
    <hyperlink ref="X15" r:id="rId172" xr:uid="{9A105D03-5BB8-4105-B76E-41F00AFD6502}"/>
    <hyperlink ref="Z15" r:id="rId173" xr:uid="{2296DF32-00F6-412B-8485-ED27376F1866}"/>
    <hyperlink ref="AB15" r:id="rId174" xr:uid="{2485A16C-D181-4187-AA79-D8004EB74E57}"/>
    <hyperlink ref="D7" r:id="rId175" xr:uid="{ECDBCCE0-67DC-47D6-8FE2-087D5490A3E0}"/>
    <hyperlink ref="R7" r:id="rId176" xr:uid="{D2A2875A-F9A1-4944-807F-D34A1E407E34}"/>
    <hyperlink ref="T7" r:id="rId177" xr:uid="{B8E4BAEB-35EC-4F48-B68B-DE1C31597B45}"/>
    <hyperlink ref="V7" r:id="rId178" xr:uid="{D3DAF5B2-9D18-47B8-BB5C-408F7BE72D74}"/>
  </hyperlinks>
  <pageMargins left="0.7" right="0.7" top="0.75" bottom="0.75" header="0.3" footer="0.3"/>
  <pageSetup paperSize="9" orientation="portrait" horizontalDpi="4294967293" verticalDpi="0" r:id="rId179"/>
  <legacyDrawing r:id="rId180"/>
  <tableParts count="3">
    <tablePart r:id="rId181"/>
    <tablePart r:id="rId182"/>
    <tablePart r:id="rId18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6F75-D917-4335-8432-3AD483B7E921}">
  <sheetPr>
    <tabColor theme="5" tint="0.59999389629810485"/>
  </sheetPr>
  <dimension ref="A1:O113"/>
  <sheetViews>
    <sheetView topLeftCell="A3" zoomScale="75" zoomScaleNormal="60" workbookViewId="0">
      <selection activeCell="L32" sqref="L32"/>
    </sheetView>
  </sheetViews>
  <sheetFormatPr baseColWidth="10" defaultColWidth="8.83203125" defaultRowHeight="16"/>
  <cols>
    <col min="1" max="1" width="9.5" style="2" bestFit="1" customWidth="1"/>
    <col min="2" max="2" width="12" style="2" bestFit="1" customWidth="1"/>
    <col min="3" max="3" width="8.83203125" style="2"/>
    <col min="4" max="4" width="12.5" style="2" bestFit="1" customWidth="1"/>
    <col min="5" max="5" width="14.5" style="2" bestFit="1" customWidth="1"/>
    <col min="6" max="6" width="36.83203125" style="2" bestFit="1" customWidth="1"/>
    <col min="7" max="7" width="14.33203125" style="2" customWidth="1"/>
    <col min="8" max="10" width="8.83203125" style="2"/>
    <col min="11" max="12" width="12.5" style="2" bestFit="1" customWidth="1"/>
    <col min="13" max="16384" width="8.83203125" style="2"/>
  </cols>
  <sheetData>
    <row r="1" spans="1:7">
      <c r="A1" s="213" t="s">
        <v>234</v>
      </c>
    </row>
    <row r="2" spans="1:7" ht="17" thickBot="1"/>
    <row r="3" spans="1:7">
      <c r="A3" s="1108" t="s">
        <v>324</v>
      </c>
      <c r="B3" s="1109"/>
      <c r="C3" s="1109"/>
      <c r="D3" s="1109"/>
      <c r="E3" s="1109"/>
      <c r="F3" s="1109"/>
      <c r="G3" s="1110"/>
    </row>
    <row r="4" spans="1:7">
      <c r="A4" s="1111"/>
      <c r="B4" s="1112"/>
      <c r="C4" s="1112"/>
      <c r="D4" s="1112"/>
      <c r="E4" s="1112"/>
      <c r="F4" s="1112"/>
      <c r="G4" s="1113"/>
    </row>
    <row r="5" spans="1:7">
      <c r="A5" s="1114" t="e">
        <f>C48+C80</f>
        <v>#VALUE!</v>
      </c>
      <c r="B5" s="1115"/>
      <c r="C5" s="1115"/>
      <c r="D5" s="1115"/>
      <c r="E5" s="1118" t="s">
        <v>236</v>
      </c>
      <c r="F5" s="1118"/>
      <c r="G5" s="1119"/>
    </row>
    <row r="6" spans="1:7" ht="17" thickBot="1">
      <c r="A6" s="1116"/>
      <c r="B6" s="1117"/>
      <c r="C6" s="1117"/>
      <c r="D6" s="1117"/>
      <c r="E6" s="1120"/>
      <c r="F6" s="1120"/>
      <c r="G6" s="1121"/>
    </row>
    <row r="7" spans="1:7" ht="17" thickBot="1"/>
    <row r="8" spans="1:7">
      <c r="A8" s="1108" t="s">
        <v>325</v>
      </c>
      <c r="B8" s="1109"/>
      <c r="C8" s="1109"/>
      <c r="D8" s="1109"/>
      <c r="E8" s="1109"/>
      <c r="F8" s="1109"/>
      <c r="G8" s="1110"/>
    </row>
    <row r="9" spans="1:7">
      <c r="A9" s="1111"/>
      <c r="B9" s="1112"/>
      <c r="C9" s="1112"/>
      <c r="D9" s="1112"/>
      <c r="E9" s="1112"/>
      <c r="F9" s="1112"/>
      <c r="G9" s="1113"/>
    </row>
    <row r="10" spans="1:7">
      <c r="A10" s="1114">
        <f>C112</f>
        <v>0</v>
      </c>
      <c r="B10" s="1115"/>
      <c r="C10" s="1115"/>
      <c r="D10" s="1115"/>
      <c r="E10" s="1118" t="s">
        <v>236</v>
      </c>
      <c r="F10" s="1118"/>
      <c r="G10" s="1119"/>
    </row>
    <row r="11" spans="1:7" ht="17" thickBot="1">
      <c r="A11" s="1116"/>
      <c r="B11" s="1117"/>
      <c r="C11" s="1117"/>
      <c r="D11" s="1117"/>
      <c r="E11" s="1120"/>
      <c r="F11" s="1120"/>
      <c r="G11" s="1121"/>
    </row>
    <row r="13" spans="1:7">
      <c r="A13" s="1122" t="s">
        <v>326</v>
      </c>
      <c r="B13" s="1122"/>
      <c r="C13" s="1122"/>
      <c r="D13" s="1123"/>
      <c r="E13" s="1124" t="str">
        <f>HOME!$C$9</f>
        <v>Spain</v>
      </c>
      <c r="F13" s="1124"/>
      <c r="G13" s="1125"/>
    </row>
    <row r="14" spans="1:7">
      <c r="A14" s="1122" t="s">
        <v>327</v>
      </c>
      <c r="B14" s="1122"/>
      <c r="C14" s="1122"/>
      <c r="D14" s="1123"/>
      <c r="E14" s="1125" t="str">
        <f>HOME!$B$77</f>
        <v>Spain</v>
      </c>
      <c r="F14" s="1226"/>
      <c r="G14" s="1226"/>
    </row>
    <row r="15" spans="1:7">
      <c r="A15" s="1123" t="s">
        <v>328</v>
      </c>
      <c r="B15" s="1225"/>
      <c r="C15" s="1225"/>
      <c r="D15" s="1225"/>
      <c r="E15" s="1124" t="str">
        <f>HOME!$B$9</f>
        <v>Spain</v>
      </c>
      <c r="F15" s="1124"/>
      <c r="G15" s="1125"/>
    </row>
    <row r="16" spans="1:7">
      <c r="A16" s="1122" t="s">
        <v>237</v>
      </c>
      <c r="B16" s="1122"/>
      <c r="C16" s="1122"/>
      <c r="D16" s="1123"/>
      <c r="E16" s="1125">
        <f>HOME!A9</f>
        <v>2022</v>
      </c>
      <c r="F16" s="1226"/>
      <c r="G16" s="1226"/>
    </row>
    <row r="17" spans="1:12">
      <c r="A17" s="158"/>
      <c r="B17" s="158"/>
      <c r="C17" s="158"/>
      <c r="D17" s="158"/>
      <c r="E17" s="221"/>
      <c r="F17" s="221"/>
      <c r="G17" s="221"/>
    </row>
    <row r="19" spans="1:12">
      <c r="A19" s="1222" t="s">
        <v>329</v>
      </c>
      <c r="B19" s="1223"/>
      <c r="C19" s="1223"/>
      <c r="D19" s="1223"/>
      <c r="E19" s="1223"/>
      <c r="F19" s="1223"/>
      <c r="G19" s="1224"/>
    </row>
    <row r="21" spans="1:12">
      <c r="A21" s="1122" t="s">
        <v>330</v>
      </c>
      <c r="B21" s="1122"/>
      <c r="C21" s="1122"/>
      <c r="D21" s="1123"/>
      <c r="E21" s="63">
        <f>IF(HOME!B87="Pipeline",HOME!D87,0)</f>
        <v>0</v>
      </c>
      <c r="F21" s="63" t="s">
        <v>331</v>
      </c>
      <c r="G21" s="6"/>
    </row>
    <row r="22" spans="1:12">
      <c r="A22" s="1123" t="s">
        <v>332</v>
      </c>
      <c r="B22" s="1225"/>
      <c r="C22" s="1225"/>
      <c r="D22" s="1225"/>
      <c r="E22" s="1227" t="str">
        <f>HOME!E12</f>
        <v>NH3</v>
      </c>
      <c r="F22" s="1227"/>
      <c r="G22" s="1228"/>
      <c r="H22" s="266" t="str">
        <f>"-&gt; edit"</f>
        <v>-&gt; edit</v>
      </c>
    </row>
    <row r="23" spans="1:12">
      <c r="A23" s="1231" t="s">
        <v>333</v>
      </c>
      <c r="B23" s="1232"/>
      <c r="C23" s="1232"/>
      <c r="D23" s="1232"/>
      <c r="E23" s="1229" t="s">
        <v>334</v>
      </c>
      <c r="F23" s="1229"/>
      <c r="G23" s="1230"/>
    </row>
    <row r="24" spans="1:12">
      <c r="A24" s="1233"/>
      <c r="B24" s="1234"/>
      <c r="C24" s="1234"/>
      <c r="D24" s="1234"/>
      <c r="E24" s="1235" t="str" cm="1">
        <f t="array" ref="E24">IF(AND(E23="Small",E21&gt;201),"ERROR!",IFERROR(INDEX(Tb_PLv[],MATCH("D",Tb_PLv[Parameter],0),HLOOKUP(E23,'T&amp;D Data'!C2:J3,2,FALSE)+2)&amp;" mm","-"))</f>
        <v>1200 mm</v>
      </c>
      <c r="F24" s="1124"/>
      <c r="G24" s="1125"/>
    </row>
    <row r="25" spans="1:12">
      <c r="A25" s="1236" t="str">
        <f>IF(AND(E23="Small",E21&gt;201),"Error: small pipeline only for short distances. Choose another pipeline size","")</f>
        <v/>
      </c>
      <c r="B25" s="1237"/>
      <c r="C25" s="1237"/>
      <c r="D25" s="1237"/>
      <c r="E25" s="1237"/>
      <c r="F25" s="1237"/>
      <c r="G25" s="1238"/>
    </row>
    <row r="26" spans="1:12">
      <c r="A26" s="1239"/>
      <c r="B26" s="1240"/>
      <c r="C26" s="1240"/>
      <c r="D26" s="1240"/>
      <c r="E26" s="1240"/>
      <c r="F26" s="1240"/>
      <c r="G26" s="1241"/>
    </row>
    <row r="27" spans="1:12" ht="17" thickBot="1">
      <c r="A27" s="280"/>
      <c r="B27" s="280"/>
      <c r="C27" s="280"/>
      <c r="D27" s="280"/>
      <c r="E27" s="280"/>
      <c r="F27" s="280"/>
      <c r="G27" s="280"/>
      <c r="H27" s="280"/>
      <c r="K27" s="170">
        <v>1</v>
      </c>
      <c r="L27" s="170">
        <v>2</v>
      </c>
    </row>
    <row r="28" spans="1:12">
      <c r="A28" s="526" t="s">
        <v>154</v>
      </c>
      <c r="B28" s="526" t="s">
        <v>244</v>
      </c>
      <c r="C28" s="526" t="s">
        <v>245</v>
      </c>
      <c r="D28" s="526" t="s">
        <v>246</v>
      </c>
      <c r="E28" s="526" t="s">
        <v>247</v>
      </c>
      <c r="F28" s="603" t="s">
        <v>248</v>
      </c>
      <c r="G28" s="604"/>
      <c r="H28" s="280"/>
      <c r="K28" s="672" t="s">
        <v>335</v>
      </c>
      <c r="L28" s="673" t="s">
        <v>336</v>
      </c>
    </row>
    <row r="29" spans="1:12">
      <c r="K29" s="666"/>
      <c r="L29" s="667">
        <f>D42</f>
        <v>33.937831137723535</v>
      </c>
    </row>
    <row r="30" spans="1:12">
      <c r="A30" s="526" t="s">
        <v>296</v>
      </c>
      <c r="B30" s="505" t="str" cm="1">
        <f t="array" ref="B30">IF(AND(E23="Small",E21&gt;201),"ERROR!",IFERROR('T&amp;D Data'!C13*INDEX(Tb_PLv[],MATCH(A30&amp;E22,Tb_PLv[Parameter],0),HLOOKUP(E23,'T&amp;D Data'!C2:J3,2,FALSE)+2),"-"))</f>
        <v>-</v>
      </c>
      <c r="C30" s="393"/>
      <c r="D30" s="509" t="str">
        <f>IF(ISBLANK(C30),B30,C30)</f>
        <v>-</v>
      </c>
      <c r="E30" s="335" t="s">
        <v>337</v>
      </c>
      <c r="F30" s="658" t="s">
        <v>338</v>
      </c>
      <c r="G30" s="1216" t="s">
        <v>339</v>
      </c>
      <c r="K30" s="668">
        <v>0</v>
      </c>
      <c r="L30" s="669">
        <f t="dataTable" ref="L30:L44" dt2D="0" dtr="0" r1="D37"/>
        <v>80</v>
      </c>
    </row>
    <row r="31" spans="1:12">
      <c r="A31" s="526" t="s">
        <v>340</v>
      </c>
      <c r="B31" s="506">
        <f>'T&amp;D Data'!C10</f>
        <v>0.02</v>
      </c>
      <c r="C31" s="388"/>
      <c r="D31" s="512">
        <f>IF(ISBLANK(C31),B31,C31)</f>
        <v>0.02</v>
      </c>
      <c r="E31" s="335"/>
      <c r="F31" s="658" t="s">
        <v>341</v>
      </c>
      <c r="G31" s="1217"/>
      <c r="K31" s="668">
        <v>50</v>
      </c>
      <c r="L31" s="669">
        <v>77.621690811604537</v>
      </c>
    </row>
    <row r="32" spans="1:12">
      <c r="A32" s="526" t="s">
        <v>342</v>
      </c>
      <c r="B32" s="507">
        <f>'T&amp;D Data'!C11</f>
        <v>40</v>
      </c>
      <c r="C32" s="393"/>
      <c r="D32" s="660">
        <f>IF(ISBLANK(C32),B32,C32)</f>
        <v>40</v>
      </c>
      <c r="E32" s="335" t="s">
        <v>207</v>
      </c>
      <c r="F32" s="658" t="s">
        <v>343</v>
      </c>
      <c r="G32" s="1217"/>
      <c r="K32" s="668">
        <v>100</v>
      </c>
      <c r="L32" s="669">
        <v>75.168169918554369</v>
      </c>
    </row>
    <row r="33" spans="1:15">
      <c r="A33" s="526" t="s">
        <v>211</v>
      </c>
      <c r="B33" s="506">
        <f>('T&amp;D Data'!$C$14+1)/(1+'General values'!R9)-1</f>
        <v>4.1436396237074291E-2</v>
      </c>
      <c r="C33" s="393"/>
      <c r="D33" s="512">
        <f>IF(ISBLANK(C33),B33,C33)</f>
        <v>4.1436396237074291E-2</v>
      </c>
      <c r="E33" s="335"/>
      <c r="F33" s="658" t="s">
        <v>284</v>
      </c>
      <c r="G33" s="1218"/>
      <c r="K33" s="668">
        <v>150</v>
      </c>
      <c r="L33" s="669">
        <v>72.631815710176156</v>
      </c>
    </row>
    <row r="34" spans="1:15">
      <c r="A34" s="280"/>
      <c r="B34" s="280"/>
      <c r="C34" s="391"/>
      <c r="D34" s="280"/>
      <c r="E34" s="280"/>
      <c r="F34" s="280"/>
      <c r="G34" s="280"/>
      <c r="K34" s="668">
        <v>200</v>
      </c>
      <c r="L34" s="669">
        <v>70.003625176195868</v>
      </c>
      <c r="O34" s="2" t="s">
        <v>280</v>
      </c>
    </row>
    <row r="35" spans="1:15" ht="18" customHeight="1">
      <c r="A35" s="526" t="s">
        <v>344</v>
      </c>
      <c r="B35" s="507" cm="1">
        <f t="array" ref="B35">IF(AND(E23="Small",E21&gt;201),"ERROR!",IFERROR(INDEX(Tb_PLv[],MATCH(A35,Tb_PLv[Parameter],0),HLOOKUP(E23,'T&amp;D Data'!$C$2:$J$3,2,FALSE)+2),"-"))</f>
        <v>1200</v>
      </c>
      <c r="C35" s="393"/>
      <c r="D35" s="661">
        <f>IF(ISBLANK(C35),B35,C35)</f>
        <v>1200</v>
      </c>
      <c r="E35" s="335" t="s">
        <v>345</v>
      </c>
      <c r="F35" s="658" t="s">
        <v>346</v>
      </c>
      <c r="G35" s="1216" t="s">
        <v>347</v>
      </c>
      <c r="K35" s="668">
        <v>250</v>
      </c>
      <c r="L35" s="669">
        <v>67.272835693626405</v>
      </c>
    </row>
    <row r="36" spans="1:15" ht="18">
      <c r="A36" s="526" t="s">
        <v>348</v>
      </c>
      <c r="B36" s="507" cm="1">
        <f t="array" ref="B36">IF(AND(E23="Small",E21&gt;201),"ERROR!",IFERROR(INDEX(Tb_PLv[],MATCH(A36,Tb_PLv[Parameter],0),HLOOKUP(E23,'T&amp;D Data'!C2:J3,2,FALSE)+2),"-"))</f>
        <v>80</v>
      </c>
      <c r="C36" s="393"/>
      <c r="D36" s="661">
        <f>IF(ISBLANK(C36),B36,C36)</f>
        <v>80</v>
      </c>
      <c r="E36" s="335" t="s">
        <v>59</v>
      </c>
      <c r="F36" s="658" t="s">
        <v>349</v>
      </c>
      <c r="G36" s="1217"/>
      <c r="K36" s="668">
        <v>300</v>
      </c>
      <c r="L36" s="669">
        <v>64.426402248720876</v>
      </c>
    </row>
    <row r="37" spans="1:15" ht="18">
      <c r="A37" s="526" t="s">
        <v>350</v>
      </c>
      <c r="B37" s="507" cm="1">
        <f t="array" ref="B37">IF(AND(E23="Small",E21&gt;201),"ERROR!",IFERROR(INDEX(Tb_PLv[],MATCH(A37,Tb_PLv[Parameter],0),HLOOKUP(E23,'T&amp;D Data'!$C$2:$J$3,2,FALSE)+2),"-"))</f>
        <v>700</v>
      </c>
      <c r="C37" s="384"/>
      <c r="D37" s="661">
        <f t="shared" ref="D37" si="0">IF(ISBLANK(C37),B37,C37)</f>
        <v>700</v>
      </c>
      <c r="E37" s="335" t="s">
        <v>331</v>
      </c>
      <c r="F37" s="659" t="s">
        <v>351</v>
      </c>
      <c r="G37" s="1217"/>
      <c r="K37" s="668">
        <v>350</v>
      </c>
      <c r="L37" s="669">
        <v>61.448256209320689</v>
      </c>
    </row>
    <row r="38" spans="1:15" ht="18">
      <c r="A38" s="526" t="s">
        <v>352</v>
      </c>
      <c r="B38" s="505" cm="1">
        <f t="array" ref="B38">IF(AND(E23="Small",E21&gt;201),"ERROR!",IFERROR(INDEX(Tb_PLv[],MATCH(A38,Tb_PLv[Parameter],0),HLOOKUP(E23,'T&amp;D Data'!C2:J3,2,FALSE)+2),"-"))</f>
        <v>13</v>
      </c>
      <c r="C38" s="384"/>
      <c r="D38" s="594">
        <f>IF(ISBLANK(C38),B38,C38)</f>
        <v>13</v>
      </c>
      <c r="E38" s="335" t="s">
        <v>353</v>
      </c>
      <c r="F38" s="658" t="s">
        <v>354</v>
      </c>
      <c r="G38" s="1217"/>
      <c r="K38" s="668">
        <v>400</v>
      </c>
      <c r="L38" s="669">
        <v>58.318222500507069</v>
      </c>
    </row>
    <row r="39" spans="1:15">
      <c r="A39" s="526" t="s">
        <v>355</v>
      </c>
      <c r="B39" s="506">
        <f>'T&amp;D Data'!C12</f>
        <v>0.75</v>
      </c>
      <c r="C39" s="388"/>
      <c r="D39" s="512">
        <f>IF(ISBLANK(C39),B39,C39)</f>
        <v>0.75</v>
      </c>
      <c r="E39" s="335"/>
      <c r="F39" s="658" t="s">
        <v>356</v>
      </c>
      <c r="G39" s="1218"/>
      <c r="K39" s="668">
        <v>450</v>
      </c>
      <c r="L39" s="669">
        <v>55.010380475606425</v>
      </c>
    </row>
    <row r="40" spans="1:15">
      <c r="A40" s="280"/>
      <c r="B40" s="280"/>
      <c r="C40" s="391"/>
      <c r="D40" s="280"/>
      <c r="E40" s="280"/>
      <c r="F40" s="280"/>
      <c r="G40" s="280"/>
      <c r="K40" s="668">
        <v>500</v>
      </c>
      <c r="L40" s="669">
        <v>51.490473337534112</v>
      </c>
    </row>
    <row r="41" spans="1:15" ht="16" customHeight="1">
      <c r="A41" s="526" t="s">
        <v>357</v>
      </c>
      <c r="B41" s="657">
        <f>(-1.8*LOG10(('General values'!$C$42/(Pipeline!D35/1000)/3.7)^1.11+6.9/(35*Pipeline!D35/1000*'General values'!$C$41/'General values'!$C$43)))^-2</f>
        <v>8.9424531334766806E-3</v>
      </c>
      <c r="C41" s="384"/>
      <c r="D41" s="662">
        <f>IF(ISBLANK(C41),B41,C41)</f>
        <v>8.9424531334766806E-3</v>
      </c>
      <c r="E41" s="415"/>
      <c r="F41" s="659" t="s">
        <v>358</v>
      </c>
      <c r="G41" s="1216" t="s">
        <v>359</v>
      </c>
      <c r="K41" s="668">
        <v>550</v>
      </c>
      <c r="L41" s="669">
        <v>47.711589042659682</v>
      </c>
    </row>
    <row r="42" spans="1:15" ht="18">
      <c r="A42" s="526" t="s">
        <v>360</v>
      </c>
      <c r="B42" s="517">
        <f>((D36*100)^2-'General values'!$C$38*'General values'!$C$44*D37*'General values'!$C$39*D41*((D38*3.6*10^6/10.8*24)*'General values'!$C$37/'General values'!$C$35/'General values'!$C$36/Pipeline!D35^2.5)^2)^0.5/100</f>
        <v>33.937831137723535</v>
      </c>
      <c r="C42" s="393"/>
      <c r="D42" s="599">
        <f>IF(ISBLANK(C42),B42,C42)</f>
        <v>33.937831137723535</v>
      </c>
      <c r="E42" s="415" t="s">
        <v>59</v>
      </c>
      <c r="F42" s="658" t="str">
        <f>"Pressure after "&amp;D37&amp;" km"</f>
        <v>Pressure after 700 km</v>
      </c>
      <c r="G42" s="1217"/>
      <c r="K42" s="668">
        <v>600</v>
      </c>
      <c r="L42" s="669">
        <v>43.606451511536392</v>
      </c>
    </row>
    <row r="43" spans="1:15" ht="18">
      <c r="A43" s="526" t="s">
        <v>361</v>
      </c>
      <c r="B43" s="517">
        <f>14.734*'General values'!$C$37/'General values'!$C$36*'General values'!$C$39*'General values'!$C$44/(100*SQRT(0.05131*'General values'!$C$39*'General values'!$C$40*'General values'!$C$44/'General values'!$C$38/(Pipeline!D36*100)))*(D38*3.6*10^6/10.8*24)/Pipeline!D35^2/100</f>
        <v>23.262172221229161</v>
      </c>
      <c r="C43" s="393"/>
      <c r="D43" s="599">
        <f>IF(ISBLANK(C43),B43,C43)</f>
        <v>23.262172221229161</v>
      </c>
      <c r="E43" s="415" t="s">
        <v>59</v>
      </c>
      <c r="F43" s="658" t="s">
        <v>362</v>
      </c>
      <c r="G43" s="1218"/>
      <c r="K43" s="668">
        <v>650</v>
      </c>
      <c r="L43" s="669">
        <v>39.072362327869371</v>
      </c>
    </row>
    <row r="44" spans="1:15" ht="17" thickBot="1">
      <c r="A44" s="1219" t="str">
        <f>IF(D42&gt;D43,"","Pressure below minimum pipeline pressure. Edit L_compr or check other values")</f>
        <v/>
      </c>
      <c r="B44" s="1220"/>
      <c r="C44" s="1220"/>
      <c r="D44" s="1220"/>
      <c r="E44" s="1220"/>
      <c r="F44" s="1220"/>
      <c r="G44" s="1221"/>
      <c r="K44" s="670">
        <v>700</v>
      </c>
      <c r="L44" s="671">
        <v>33.937831137723535</v>
      </c>
    </row>
    <row r="45" spans="1:15">
      <c r="G45" s="237"/>
      <c r="K45" s="280"/>
      <c r="L45" s="280"/>
    </row>
    <row r="46" spans="1:15">
      <c r="A46" s="1244" t="s">
        <v>363</v>
      </c>
      <c r="B46" s="1245"/>
      <c r="C46" s="1242">
        <f>D33/(1-(D33+1)^-D32)</f>
        <v>5.1608511661201499E-2</v>
      </c>
      <c r="D46" s="1243"/>
      <c r="E46" s="415" t="s">
        <v>364</v>
      </c>
      <c r="F46" s="658" t="s">
        <v>289</v>
      </c>
      <c r="G46" s="280"/>
    </row>
    <row r="47" spans="1:15" ht="18">
      <c r="A47" s="1244" t="s">
        <v>296</v>
      </c>
      <c r="B47" s="1245"/>
      <c r="C47" s="1242" t="e">
        <f>D30*10^6/(D38*10^6)/8760*33.3*1000</f>
        <v>#VALUE!</v>
      </c>
      <c r="D47" s="1243"/>
      <c r="E47" s="415" t="s">
        <v>365</v>
      </c>
      <c r="F47" s="658" t="s">
        <v>366</v>
      </c>
      <c r="G47" s="280"/>
    </row>
    <row r="48" spans="1:15" ht="18">
      <c r="A48" s="1244" t="s">
        <v>367</v>
      </c>
      <c r="B48" s="1245"/>
      <c r="C48" s="1246" t="e">
        <f>(C46+D31)/D39*C47*E21/1000</f>
        <v>#VALUE!</v>
      </c>
      <c r="D48" s="1247"/>
      <c r="E48" s="663" t="s">
        <v>368</v>
      </c>
      <c r="F48" s="658" t="s">
        <v>369</v>
      </c>
      <c r="G48" s="280"/>
    </row>
    <row r="49" spans="1:12">
      <c r="A49" s="280"/>
      <c r="B49" s="280"/>
      <c r="C49" s="280"/>
      <c r="D49" s="280"/>
      <c r="E49" s="280"/>
      <c r="F49" s="280"/>
      <c r="G49" s="280"/>
    </row>
    <row r="50" spans="1:12">
      <c r="A50" s="280"/>
      <c r="B50" s="280"/>
      <c r="C50" s="280"/>
      <c r="D50" s="280"/>
      <c r="E50" s="280"/>
      <c r="F50" s="280"/>
      <c r="G50" s="280"/>
    </row>
    <row r="51" spans="1:12">
      <c r="A51" s="1248" t="s">
        <v>370</v>
      </c>
      <c r="B51" s="1249"/>
      <c r="C51" s="1249"/>
      <c r="D51" s="1249"/>
      <c r="E51" s="1249"/>
      <c r="F51" s="1249"/>
      <c r="G51" s="1250"/>
    </row>
    <row r="52" spans="1:12">
      <c r="A52" s="280"/>
      <c r="B52" s="280"/>
      <c r="C52" s="280"/>
      <c r="D52" s="280"/>
      <c r="E52" s="280"/>
      <c r="F52" s="280"/>
      <c r="G52" s="280"/>
    </row>
    <row r="53" spans="1:12">
      <c r="A53" s="1053" t="s">
        <v>330</v>
      </c>
      <c r="B53" s="1053"/>
      <c r="C53" s="1053"/>
      <c r="D53" s="979"/>
      <c r="E53" s="350">
        <f>IF(HOME!B88="Pipeline",HOME!D88,0)</f>
        <v>0</v>
      </c>
      <c r="F53" s="333" t="s">
        <v>331</v>
      </c>
      <c r="G53" s="335"/>
    </row>
    <row r="54" spans="1:12">
      <c r="A54" s="979" t="s">
        <v>332</v>
      </c>
      <c r="B54" s="980"/>
      <c r="C54" s="980"/>
      <c r="D54" s="980"/>
      <c r="E54" s="1251" t="str">
        <f>HOME!F12</f>
        <v>New</v>
      </c>
      <c r="F54" s="1251"/>
      <c r="G54" s="1101"/>
      <c r="H54" s="266" t="str">
        <f>"-&gt; edit"</f>
        <v>-&gt; edit</v>
      </c>
    </row>
    <row r="55" spans="1:12">
      <c r="A55" s="1231" t="s">
        <v>333</v>
      </c>
      <c r="B55" s="1232"/>
      <c r="C55" s="1232"/>
      <c r="D55" s="1232"/>
      <c r="E55" s="1229" t="s">
        <v>334</v>
      </c>
      <c r="F55" s="1229"/>
      <c r="G55" s="1230"/>
    </row>
    <row r="56" spans="1:12">
      <c r="A56" s="1233"/>
      <c r="B56" s="1234"/>
      <c r="C56" s="1234"/>
      <c r="D56" s="1234"/>
      <c r="E56" s="1100" t="str" cm="1">
        <f t="array" ref="E56">IF(AND(E55="Small",E53&gt;201),"ERROR!",IFERROR(INDEX(Tb_PLv[],MATCH("D",Tb_PLv[Parameter],0),HLOOKUP(E55,'T&amp;D Data'!C2:J3,2,FALSE)+2)&amp;" mm","-"))</f>
        <v>1200 mm</v>
      </c>
      <c r="F56" s="981"/>
      <c r="G56" s="982"/>
    </row>
    <row r="57" spans="1:12">
      <c r="A57" s="1236" t="str">
        <f>IF(AND(E55="Small",E53&gt;201),"Error: small pipeline only for short distances. Choose another pipeline size","")</f>
        <v/>
      </c>
      <c r="B57" s="1237"/>
      <c r="C57" s="1237"/>
      <c r="D57" s="1237"/>
      <c r="E57" s="1237"/>
      <c r="F57" s="1237"/>
      <c r="G57" s="1238"/>
    </row>
    <row r="58" spans="1:12">
      <c r="A58" s="1239"/>
      <c r="B58" s="1240"/>
      <c r="C58" s="1240"/>
      <c r="D58" s="1240"/>
      <c r="E58" s="1240"/>
      <c r="F58" s="1240"/>
      <c r="G58" s="1241"/>
    </row>
    <row r="59" spans="1:12" ht="17" thickBot="1"/>
    <row r="60" spans="1:12">
      <c r="A60" s="526" t="s">
        <v>154</v>
      </c>
      <c r="B60" s="526" t="s">
        <v>244</v>
      </c>
      <c r="C60" s="526" t="s">
        <v>245</v>
      </c>
      <c r="D60" s="526" t="s">
        <v>246</v>
      </c>
      <c r="E60" s="526" t="s">
        <v>247</v>
      </c>
      <c r="F60" s="603" t="s">
        <v>248</v>
      </c>
      <c r="G60" s="604"/>
      <c r="K60" s="672" t="s">
        <v>335</v>
      </c>
      <c r="L60" s="673" t="s">
        <v>336</v>
      </c>
    </row>
    <row r="61" spans="1:12">
      <c r="K61" s="666"/>
      <c r="L61" s="667">
        <f>D74</f>
        <v>33.937831137723535</v>
      </c>
    </row>
    <row r="62" spans="1:12">
      <c r="A62" s="526" t="s">
        <v>296</v>
      </c>
      <c r="B62" s="505" cm="1">
        <f t="array" ref="B62">IF(AND(E55="Small",E53&gt;201),"ERROR!",IFERROR(INDEX(Tb_PLv[],MATCH(A30&amp;E54,Tb_PLv[Parameter],0),HLOOKUP(E55,'T&amp;D Data'!$C$2:$J$3,2,FALSE)+2),"-"))</f>
        <v>2.8</v>
      </c>
      <c r="C62" s="393"/>
      <c r="D62" s="509">
        <f>IF(ISBLANK(C62),B62,C62)</f>
        <v>2.8</v>
      </c>
      <c r="E62" s="335" t="s">
        <v>337</v>
      </c>
      <c r="F62" s="658" t="s">
        <v>338</v>
      </c>
      <c r="G62" s="1216" t="s">
        <v>339</v>
      </c>
      <c r="K62" s="668">
        <v>0</v>
      </c>
      <c r="L62" s="669">
        <f t="dataTable" ref="L62:L76" dt2D="0" dtr="0" r1="D69"/>
        <v>80</v>
      </c>
    </row>
    <row r="63" spans="1:12">
      <c r="A63" s="526" t="s">
        <v>340</v>
      </c>
      <c r="B63" s="506">
        <f>'T&amp;D Data'!C10</f>
        <v>0.02</v>
      </c>
      <c r="C63" s="388"/>
      <c r="D63" s="512">
        <f>IF(ISBLANK(C63),B63,C63)</f>
        <v>0.02</v>
      </c>
      <c r="E63" s="335"/>
      <c r="F63" s="658" t="s">
        <v>341</v>
      </c>
      <c r="G63" s="1217"/>
      <c r="K63" s="668">
        <v>50</v>
      </c>
      <c r="L63" s="669">
        <v>77.621690811604537</v>
      </c>
    </row>
    <row r="64" spans="1:12">
      <c r="A64" s="526" t="s">
        <v>342</v>
      </c>
      <c r="B64" s="507">
        <f>'T&amp;D Data'!C11</f>
        <v>40</v>
      </c>
      <c r="C64" s="393"/>
      <c r="D64" s="660">
        <f>IF(ISBLANK(C64),B64,C64)</f>
        <v>40</v>
      </c>
      <c r="E64" s="335" t="s">
        <v>207</v>
      </c>
      <c r="F64" s="658" t="s">
        <v>343</v>
      </c>
      <c r="G64" s="1217"/>
      <c r="K64" s="668">
        <v>100</v>
      </c>
      <c r="L64" s="669">
        <v>75.168169918554369</v>
      </c>
    </row>
    <row r="65" spans="1:12">
      <c r="A65" s="526" t="s">
        <v>211</v>
      </c>
      <c r="B65" s="506">
        <f>'T&amp;D Data'!$C$14</f>
        <v>6.0000000000000005E-2</v>
      </c>
      <c r="C65" s="393"/>
      <c r="D65" s="512">
        <f>IF(ISBLANK(C65),B65,C65)</f>
        <v>6.0000000000000005E-2</v>
      </c>
      <c r="E65" s="335" t="s">
        <v>345</v>
      </c>
      <c r="F65" s="658" t="s">
        <v>371</v>
      </c>
      <c r="G65" s="1218"/>
      <c r="K65" s="668">
        <v>150</v>
      </c>
      <c r="L65" s="669">
        <v>72.631815710176156</v>
      </c>
    </row>
    <row r="66" spans="1:12">
      <c r="A66" s="280"/>
      <c r="B66" s="280"/>
      <c r="C66" s="391"/>
      <c r="D66" s="280"/>
      <c r="E66" s="280"/>
      <c r="F66" s="280"/>
      <c r="G66" s="280"/>
      <c r="K66" s="668">
        <v>200</v>
      </c>
      <c r="L66" s="669">
        <v>70.003625176195868</v>
      </c>
    </row>
    <row r="67" spans="1:12">
      <c r="A67" s="526" t="s">
        <v>344</v>
      </c>
      <c r="B67" s="507" cm="1">
        <f t="array" ref="B67">IF(AND(E55="Small",E53&gt;201),"ERROR!",IFERROR(INDEX(Tb_PLv[],MATCH(A67,Tb_PLv[Parameter],0),HLOOKUP(E55,'T&amp;D Data'!$C$2:$J$3,2,FALSE)+2),"-"))</f>
        <v>1200</v>
      </c>
      <c r="C67" s="393"/>
      <c r="D67" s="661">
        <f>IF(ISBLANK(C67),B67,C67)</f>
        <v>1200</v>
      </c>
      <c r="E67" s="335" t="s">
        <v>345</v>
      </c>
      <c r="F67" s="658" t="s">
        <v>346</v>
      </c>
      <c r="G67" s="1216" t="s">
        <v>347</v>
      </c>
      <c r="K67" s="668">
        <v>250</v>
      </c>
      <c r="L67" s="669">
        <v>67.272835693626405</v>
      </c>
    </row>
    <row r="68" spans="1:12" ht="18">
      <c r="A68" s="526" t="s">
        <v>348</v>
      </c>
      <c r="B68" s="507" cm="1">
        <f t="array" ref="B68">IF(AND(E55="Small",E53&gt;201),"ERROR!",IFERROR(INDEX(Tb_PLv[],MATCH(A68,Tb_PLv[Parameter],0),HLOOKUP(E55,'T&amp;D Data'!C2:J3,2,FALSE)+2),"-"))</f>
        <v>80</v>
      </c>
      <c r="C68" s="393"/>
      <c r="D68" s="661">
        <f>IF(ISBLANK(C68),B68,C68)</f>
        <v>80</v>
      </c>
      <c r="E68" s="335" t="s">
        <v>59</v>
      </c>
      <c r="F68" s="658" t="s">
        <v>372</v>
      </c>
      <c r="G68" s="1217"/>
      <c r="K68" s="668">
        <v>300</v>
      </c>
      <c r="L68" s="669">
        <v>64.426402248720876</v>
      </c>
    </row>
    <row r="69" spans="1:12" ht="18">
      <c r="A69" s="526" t="s">
        <v>350</v>
      </c>
      <c r="B69" s="507" cm="1">
        <f t="array" ref="B69">IF(AND(E55="Small",E53&gt;201),"ERROR!",IFERROR(INDEX(Tb_PLv[],MATCH(A69,Tb_PLv[Parameter],0),HLOOKUP(E55,'T&amp;D Data'!$C$2:$J$3,2,FALSE)+2),"-"))</f>
        <v>700</v>
      </c>
      <c r="C69" s="664"/>
      <c r="D69" s="661">
        <f t="shared" ref="D69" si="1">IF(ISBLANK(C69),B69,C69)</f>
        <v>700</v>
      </c>
      <c r="E69" s="335" t="s">
        <v>331</v>
      </c>
      <c r="F69" s="659" t="s">
        <v>351</v>
      </c>
      <c r="G69" s="1217"/>
      <c r="K69" s="668">
        <v>350</v>
      </c>
      <c r="L69" s="669">
        <v>61.448256209320689</v>
      </c>
    </row>
    <row r="70" spans="1:12" ht="18">
      <c r="A70" s="526" t="s">
        <v>352</v>
      </c>
      <c r="B70" s="505" cm="1">
        <f t="array" ref="B70">IF(AND(E55="Small",E53&gt;201),"ERROR!",IFERROR(INDEX(Tb_PLv[],MATCH(A70,Tb_PLv[Parameter],0),HLOOKUP(E55,'T&amp;D Data'!C2:J3,2,FALSE)+2),"-"))</f>
        <v>13</v>
      </c>
      <c r="C70" s="384"/>
      <c r="D70" s="594">
        <f>IF(ISBLANK(C70),B70,C70)</f>
        <v>13</v>
      </c>
      <c r="E70" s="335" t="s">
        <v>353</v>
      </c>
      <c r="F70" s="658" t="s">
        <v>354</v>
      </c>
      <c r="G70" s="1217"/>
      <c r="K70" s="668">
        <v>400</v>
      </c>
      <c r="L70" s="669">
        <v>58.318222500507069</v>
      </c>
    </row>
    <row r="71" spans="1:12">
      <c r="A71" s="526" t="s">
        <v>355</v>
      </c>
      <c r="B71" s="506">
        <f>'T&amp;D Data'!C12</f>
        <v>0.75</v>
      </c>
      <c r="C71" s="388"/>
      <c r="D71" s="512">
        <f>IF(ISBLANK(C71),B71,C71)</f>
        <v>0.75</v>
      </c>
      <c r="E71" s="335"/>
      <c r="F71" s="658" t="s">
        <v>356</v>
      </c>
      <c r="G71" s="1218"/>
      <c r="K71" s="668">
        <v>450</v>
      </c>
      <c r="L71" s="669">
        <v>55.010380475606425</v>
      </c>
    </row>
    <row r="72" spans="1:12">
      <c r="A72" s="280"/>
      <c r="B72" s="280"/>
      <c r="C72" s="391"/>
      <c r="D72" s="280"/>
      <c r="E72" s="280"/>
      <c r="F72" s="280"/>
      <c r="G72" s="280"/>
      <c r="K72" s="668">
        <v>500</v>
      </c>
      <c r="L72" s="669">
        <v>51.490473337534112</v>
      </c>
    </row>
    <row r="73" spans="1:12">
      <c r="A73" s="526" t="s">
        <v>357</v>
      </c>
      <c r="B73" s="657">
        <f>(-1.8*LOG10(('General values'!$C$42/(Pipeline!D67/1000)/3.7)^1.11+6.9/(35*Pipeline!D67/1000*'General values'!$C$41/'General values'!$C$43)))^-2</f>
        <v>8.9424531334766806E-3</v>
      </c>
      <c r="C73" s="384"/>
      <c r="D73" s="662">
        <f>IF(ISBLANK(C73),B73,C73)</f>
        <v>8.9424531334766806E-3</v>
      </c>
      <c r="E73" s="415"/>
      <c r="F73" s="659" t="s">
        <v>358</v>
      </c>
      <c r="G73" s="1216" t="s">
        <v>359</v>
      </c>
      <c r="K73" s="668">
        <v>550</v>
      </c>
      <c r="L73" s="669">
        <v>47.711589042659682</v>
      </c>
    </row>
    <row r="74" spans="1:12" ht="18">
      <c r="A74" s="526" t="s">
        <v>360</v>
      </c>
      <c r="B74" s="517">
        <f>((D68*100)^2-'General values'!$C$38*'General values'!$C$44*D69*'General values'!$C$39*D73*((D70*3.6*10^6/10.8*24)*'General values'!$C$37/'General values'!$C$35/'General values'!$C$36/Pipeline!D67^2.5)^2)^0.5/100</f>
        <v>33.937831137723535</v>
      </c>
      <c r="C74" s="393"/>
      <c r="D74" s="599">
        <f>IF(ISBLANK(C74),B74,C74)</f>
        <v>33.937831137723535</v>
      </c>
      <c r="E74" s="415" t="s">
        <v>59</v>
      </c>
      <c r="F74" s="658" t="str">
        <f>"Pressure after "&amp;D69&amp;" km"</f>
        <v>Pressure after 700 km</v>
      </c>
      <c r="G74" s="1217"/>
      <c r="K74" s="668">
        <v>600</v>
      </c>
      <c r="L74" s="669">
        <v>43.606451511536392</v>
      </c>
    </row>
    <row r="75" spans="1:12" ht="18">
      <c r="A75" s="526" t="s">
        <v>361</v>
      </c>
      <c r="B75" s="517">
        <f>14.734*'General values'!$C$37/'General values'!$C$36*'General values'!$C$39*'General values'!$C$44/(100*SQRT(0.05131*'General values'!$C$39*'General values'!$C$40*'General values'!$C$44/'General values'!$C$38/(Pipeline!D68*100)))*(D70*3.6*10^6/10.8*24)/Pipeline!D67^2/100</f>
        <v>23.262172221229161</v>
      </c>
      <c r="C75" s="393"/>
      <c r="D75" s="599">
        <f>IF(ISBLANK(C75),B75,C75)</f>
        <v>23.262172221229161</v>
      </c>
      <c r="E75" s="415" t="s">
        <v>59</v>
      </c>
      <c r="F75" s="658" t="s">
        <v>362</v>
      </c>
      <c r="G75" s="1218"/>
      <c r="K75" s="668">
        <v>650</v>
      </c>
      <c r="L75" s="669">
        <v>39.072362327869371</v>
      </c>
    </row>
    <row r="76" spans="1:12" ht="17" thickBot="1">
      <c r="A76" s="1219" t="str">
        <f>IF(D74&gt;D75,"","Pressure below minimum pipeline pressure. Edit L_compr or check other values")</f>
        <v/>
      </c>
      <c r="B76" s="1220"/>
      <c r="C76" s="1220"/>
      <c r="D76" s="1220"/>
      <c r="E76" s="1220"/>
      <c r="F76" s="1220"/>
      <c r="G76" s="1221"/>
      <c r="K76" s="670">
        <v>700</v>
      </c>
      <c r="L76" s="671">
        <v>33.937831137723535</v>
      </c>
    </row>
    <row r="77" spans="1:12">
      <c r="A77" s="280"/>
      <c r="B77" s="280"/>
      <c r="C77" s="280"/>
      <c r="D77" s="280"/>
      <c r="E77" s="280"/>
      <c r="F77" s="280"/>
    </row>
    <row r="78" spans="1:12">
      <c r="A78" s="1244" t="s">
        <v>363</v>
      </c>
      <c r="B78" s="1245"/>
      <c r="C78" s="1242">
        <f>D65/(1-(D65+1)^-D64)</f>
        <v>6.6461535920675496E-2</v>
      </c>
      <c r="D78" s="1243"/>
      <c r="E78" s="415" t="s">
        <v>364</v>
      </c>
      <c r="F78" s="658" t="s">
        <v>289</v>
      </c>
    </row>
    <row r="79" spans="1:12" ht="18">
      <c r="A79" s="1244" t="s">
        <v>296</v>
      </c>
      <c r="B79" s="1245"/>
      <c r="C79" s="1242">
        <f>D62*10^6/(D70*10^6)/8760*33.3*1000</f>
        <v>0.81875658587987366</v>
      </c>
      <c r="D79" s="1243"/>
      <c r="E79" s="415" t="s">
        <v>365</v>
      </c>
      <c r="F79" s="658" t="s">
        <v>366</v>
      </c>
    </row>
    <row r="80" spans="1:12" ht="18">
      <c r="A80" s="1244" t="s">
        <v>373</v>
      </c>
      <c r="B80" s="1245"/>
      <c r="C80" s="1246">
        <f>(C78+D63)/D71*C79*E53/1000</f>
        <v>0</v>
      </c>
      <c r="D80" s="1247"/>
      <c r="E80" s="663" t="s">
        <v>368</v>
      </c>
      <c r="F80" s="658" t="s">
        <v>369</v>
      </c>
    </row>
    <row r="83" spans="1:15">
      <c r="A83" s="1248" t="s">
        <v>374</v>
      </c>
      <c r="B83" s="1249"/>
      <c r="C83" s="1249"/>
      <c r="D83" s="1249"/>
      <c r="E83" s="1249"/>
      <c r="F83" s="1249"/>
      <c r="G83" s="1250"/>
    </row>
    <row r="85" spans="1:15">
      <c r="A85" s="1053" t="s">
        <v>330</v>
      </c>
      <c r="B85" s="1053"/>
      <c r="C85" s="1053"/>
      <c r="D85" s="979"/>
      <c r="E85" s="333">
        <f>IF(HOME!B106="Pipeline",IF(ISBLANK(HOME!H16),HOME!C106,HOME!H16),0)</f>
        <v>0</v>
      </c>
      <c r="F85" s="333" t="s">
        <v>331</v>
      </c>
      <c r="G85" s="335"/>
    </row>
    <row r="86" spans="1:15">
      <c r="A86" s="979" t="s">
        <v>332</v>
      </c>
      <c r="B86" s="980"/>
      <c r="C86" s="980"/>
      <c r="D86" s="980"/>
      <c r="E86" s="1251" t="str">
        <f>HOME!H12</f>
        <v>New</v>
      </c>
      <c r="F86" s="1251"/>
      <c r="G86" s="1101"/>
      <c r="H86" s="266" t="str">
        <f>"-&gt; edit"</f>
        <v>-&gt; edit</v>
      </c>
      <c r="O86" s="267"/>
    </row>
    <row r="87" spans="1:15">
      <c r="A87" s="1231" t="s">
        <v>333</v>
      </c>
      <c r="B87" s="1232"/>
      <c r="C87" s="1232"/>
      <c r="D87" s="1232"/>
      <c r="E87" s="1229" t="s">
        <v>375</v>
      </c>
      <c r="F87" s="1229"/>
      <c r="G87" s="1230"/>
    </row>
    <row r="88" spans="1:15">
      <c r="A88" s="1233"/>
      <c r="B88" s="1234"/>
      <c r="C88" s="1234"/>
      <c r="D88" s="1234"/>
      <c r="E88" s="1100" t="str" cm="1">
        <f t="array" ref="E88">IF(AND(E87="Small",E85&gt;201),"ERROR!",IFERROR(INDEX(Tb_PLv[],MATCH("D",Tb_PLv[Parameter],0),HLOOKUP(E87,'T&amp;D Data'!$C$2:$J$3,2,FALSE)+2)&amp;" mm","-"))</f>
        <v>500 mm</v>
      </c>
      <c r="F88" s="981"/>
      <c r="G88" s="982"/>
    </row>
    <row r="89" spans="1:15">
      <c r="A89" s="1236" t="str">
        <f>IF(AND(E87="Small",E85&gt;201),"Error: small pipeline only for short distances. Choose another pipeline size","")</f>
        <v/>
      </c>
      <c r="B89" s="1237"/>
      <c r="C89" s="1237"/>
      <c r="D89" s="1237"/>
      <c r="E89" s="1237"/>
      <c r="F89" s="1237"/>
      <c r="G89" s="1238"/>
    </row>
    <row r="90" spans="1:15">
      <c r="A90" s="1239"/>
      <c r="B90" s="1240"/>
      <c r="C90" s="1240"/>
      <c r="D90" s="1240"/>
      <c r="E90" s="1240"/>
      <c r="F90" s="1240"/>
      <c r="G90" s="1241"/>
    </row>
    <row r="91" spans="1:15" ht="17" thickBot="1"/>
    <row r="92" spans="1:15">
      <c r="A92" s="526" t="s">
        <v>154</v>
      </c>
      <c r="B92" s="526" t="s">
        <v>244</v>
      </c>
      <c r="C92" s="526" t="s">
        <v>245</v>
      </c>
      <c r="D92" s="526" t="s">
        <v>246</v>
      </c>
      <c r="E92" s="526" t="s">
        <v>247</v>
      </c>
      <c r="F92" s="603" t="s">
        <v>248</v>
      </c>
      <c r="G92" s="604"/>
      <c r="K92" s="665" t="s">
        <v>335</v>
      </c>
      <c r="L92" s="458" t="s">
        <v>336</v>
      </c>
    </row>
    <row r="93" spans="1:15">
      <c r="K93" s="666"/>
      <c r="L93" s="667">
        <f>D106</f>
        <v>27.105366739905097</v>
      </c>
    </row>
    <row r="94" spans="1:15">
      <c r="A94" s="526" t="s">
        <v>296</v>
      </c>
      <c r="B94" s="505" cm="1">
        <f t="array" ref="B94">IF(AND(E87="Small",E85&gt;201),"ERROR!",IFERROR(INDEX(Tb_PLv[],MATCH(A62&amp;E86,Tb_PLv[Parameter],0),HLOOKUP(E87,'T&amp;D Data'!$C$2:$J$3,2,FALSE)+2),"-"))</f>
        <v>1.5</v>
      </c>
      <c r="C94" s="393"/>
      <c r="D94" s="509">
        <f>IF(ISBLANK(C94),B94,C94)</f>
        <v>1.5</v>
      </c>
      <c r="E94" s="335" t="s">
        <v>337</v>
      </c>
      <c r="F94" s="658" t="s">
        <v>338</v>
      </c>
      <c r="G94" s="1216" t="s">
        <v>339</v>
      </c>
      <c r="K94" s="668">
        <v>0</v>
      </c>
      <c r="L94" s="669">
        <f t="dataTable" ref="L94:L108" dt2D="0" dtr="0" r1="D101"/>
        <v>50</v>
      </c>
    </row>
    <row r="95" spans="1:15">
      <c r="A95" s="526" t="s">
        <v>340</v>
      </c>
      <c r="B95" s="506">
        <f>'T&amp;D Data'!C10</f>
        <v>0.02</v>
      </c>
      <c r="C95" s="388"/>
      <c r="D95" s="512">
        <f>IF(ISBLANK(C95),B95,C95)</f>
        <v>0.02</v>
      </c>
      <c r="E95" s="335"/>
      <c r="F95" s="658" t="s">
        <v>341</v>
      </c>
      <c r="G95" s="1217"/>
      <c r="K95" s="668">
        <v>50</v>
      </c>
      <c r="L95" s="669">
        <v>46.965769283072461</v>
      </c>
    </row>
    <row r="96" spans="1:15">
      <c r="A96" s="526" t="s">
        <v>342</v>
      </c>
      <c r="B96" s="507">
        <f>'T&amp;D Data'!C11</f>
        <v>40</v>
      </c>
      <c r="C96" s="393"/>
      <c r="D96" s="660">
        <f>IF(ISBLANK(C96),B96,C96)</f>
        <v>40</v>
      </c>
      <c r="E96" s="335" t="s">
        <v>207</v>
      </c>
      <c r="F96" s="658" t="s">
        <v>343</v>
      </c>
      <c r="G96" s="1217"/>
      <c r="K96" s="668">
        <v>100</v>
      </c>
      <c r="L96" s="669">
        <v>43.721470340115332</v>
      </c>
    </row>
    <row r="97" spans="1:12">
      <c r="A97" s="526" t="s">
        <v>211</v>
      </c>
      <c r="B97" s="506">
        <f>'T&amp;D Data'!$C$14</f>
        <v>6.0000000000000005E-2</v>
      </c>
      <c r="C97" s="393"/>
      <c r="D97" s="512">
        <f>IF(ISBLANK(C97),B97,C97)</f>
        <v>6.0000000000000005E-2</v>
      </c>
      <c r="E97" s="335" t="s">
        <v>345</v>
      </c>
      <c r="F97" s="658" t="s">
        <v>371</v>
      </c>
      <c r="G97" s="1218"/>
      <c r="K97" s="668">
        <v>150</v>
      </c>
      <c r="L97" s="669">
        <v>40.216295864392791</v>
      </c>
    </row>
    <row r="98" spans="1:12">
      <c r="A98" s="280"/>
      <c r="B98" s="280"/>
      <c r="C98" s="391"/>
      <c r="D98" s="280"/>
      <c r="E98" s="280"/>
      <c r="F98" s="280"/>
      <c r="G98" s="280"/>
      <c r="K98" s="668">
        <v>200</v>
      </c>
      <c r="L98" s="669">
        <v>36.374908074154206</v>
      </c>
    </row>
    <row r="99" spans="1:12">
      <c r="A99" s="526" t="s">
        <v>344</v>
      </c>
      <c r="B99" s="507" cm="1">
        <f t="array" ref="B99">IF(AND(E87="Small",E85&gt;201),"ERROR!",IFERROR(INDEX(Tb_PLv[],MATCH(A99,Tb_PLv[Parameter],0),HLOOKUP(E87,'T&amp;D Data'!$C$2:$J$3,2,FALSE)+2),"-"))</f>
        <v>500</v>
      </c>
      <c r="C99" s="393"/>
      <c r="D99" s="661">
        <f>IF(ISBLANK(C99),B99,C99)</f>
        <v>500</v>
      </c>
      <c r="E99" s="335" t="s">
        <v>345</v>
      </c>
      <c r="F99" s="658" t="s">
        <v>346</v>
      </c>
      <c r="G99" s="1216"/>
      <c r="K99" s="668">
        <v>250</v>
      </c>
      <c r="L99" s="669">
        <v>32.076742692392585</v>
      </c>
    </row>
    <row r="100" spans="1:12" ht="18">
      <c r="A100" s="526" t="s">
        <v>348</v>
      </c>
      <c r="B100" s="507" cm="1">
        <f t="array" ref="B100">IF(AND(E87="Small",E85&gt;201),"ERROR!",IFERROR(INDEX(Tb_PLv[],MATCH(A100,Tb_PLv[Parameter],0),HLOOKUP(E87,'T&amp;D Data'!$C$2:$J$3,2,FALSE)+2),"-"))</f>
        <v>50</v>
      </c>
      <c r="C100" s="393"/>
      <c r="D100" s="661">
        <f>IF(ISBLANK(C100),B100,C100)</f>
        <v>50</v>
      </c>
      <c r="E100" s="335" t="s">
        <v>59</v>
      </c>
      <c r="F100" s="658" t="s">
        <v>372</v>
      </c>
      <c r="G100" s="1217"/>
      <c r="K100" s="668">
        <v>300</v>
      </c>
      <c r="L100" s="669">
        <v>27.105366739905097</v>
      </c>
    </row>
    <row r="101" spans="1:12" ht="18">
      <c r="A101" s="526" t="s">
        <v>350</v>
      </c>
      <c r="B101" s="507" cm="1">
        <f t="array" ref="B101">IF(AND(E87="Small",E85&gt;201),"ERROR!",IFERROR(INDEX(Tb_PLv[],MATCH(A101,Tb_PLv[Parameter],0),HLOOKUP(E87,'T&amp;D Data'!$C$2:$J$3,2,FALSE)+2),"-"))</f>
        <v>300</v>
      </c>
      <c r="C101" s="393"/>
      <c r="D101" s="661">
        <f>IF(ISBLANK(C101),B101,C101)</f>
        <v>300</v>
      </c>
      <c r="E101" s="335" t="s">
        <v>331</v>
      </c>
      <c r="F101" s="659" t="s">
        <v>351</v>
      </c>
      <c r="G101" s="1217"/>
      <c r="K101" s="668">
        <v>350</v>
      </c>
      <c r="L101" s="669">
        <v>20.987719991832034</v>
      </c>
    </row>
    <row r="102" spans="1:12" ht="18">
      <c r="A102" s="526" t="s">
        <v>352</v>
      </c>
      <c r="B102" s="505" cm="1">
        <f t="array" ref="B102">IF(AND(E87="Small",E85&gt;201),"ERROR!",IFERROR(INDEX(Tb_PLv[],MATCH(A102,Tb_PLv[Parameter],0),HLOOKUP(E87,'T&amp;D Data'!$C$2:$J$3,2,FALSE)+2),"-"))</f>
        <v>1.2</v>
      </c>
      <c r="C102" s="384"/>
      <c r="D102" s="594">
        <f>IF(ISBLANK(C102),B102,C102)</f>
        <v>1.2</v>
      </c>
      <c r="E102" s="335" t="s">
        <v>353</v>
      </c>
      <c r="F102" s="658" t="s">
        <v>354</v>
      </c>
      <c r="G102" s="1217"/>
      <c r="K102" s="668">
        <v>400</v>
      </c>
      <c r="L102" s="669">
        <v>12.094125632154569</v>
      </c>
    </row>
    <row r="103" spans="1:12">
      <c r="A103" s="526" t="s">
        <v>355</v>
      </c>
      <c r="B103" s="506">
        <f>'T&amp;D Data'!C12</f>
        <v>0.75</v>
      </c>
      <c r="C103" s="388"/>
      <c r="D103" s="512">
        <f>IF(ISBLANK(C103),B103,C103)</f>
        <v>0.75</v>
      </c>
      <c r="E103" s="335"/>
      <c r="F103" s="658" t="s">
        <v>356</v>
      </c>
      <c r="G103" s="1218"/>
      <c r="K103" s="668">
        <v>450</v>
      </c>
      <c r="L103" s="669" t="e">
        <v>#NUM!</v>
      </c>
    </row>
    <row r="104" spans="1:12">
      <c r="A104" s="280"/>
      <c r="B104" s="280"/>
      <c r="C104" s="391"/>
      <c r="D104" s="280"/>
      <c r="E104" s="280"/>
      <c r="F104" s="280"/>
      <c r="G104" s="280"/>
      <c r="K104" s="668">
        <v>500</v>
      </c>
      <c r="L104" s="669" t="e">
        <v>#NUM!</v>
      </c>
    </row>
    <row r="105" spans="1:12">
      <c r="A105" s="526" t="s">
        <v>357</v>
      </c>
      <c r="B105" s="657">
        <f>(-1.8*LOG10(('General values'!$C$42/(Pipeline!D99/1000)/3.7)^1.11+6.9/(35*Pipeline!D99/1000*'General values'!$C$41/'General values'!$C$43)))^-2</f>
        <v>1.0344450576499695E-2</v>
      </c>
      <c r="C105" s="384"/>
      <c r="D105" s="662">
        <f>IF(ISBLANK(C105),B105,C105)</f>
        <v>1.0344450576499695E-2</v>
      </c>
      <c r="E105" s="415"/>
      <c r="F105" s="659" t="s">
        <v>358</v>
      </c>
      <c r="G105" s="1216" t="s">
        <v>359</v>
      </c>
      <c r="K105" s="668">
        <v>550</v>
      </c>
      <c r="L105" s="669" t="e">
        <v>#NUM!</v>
      </c>
    </row>
    <row r="106" spans="1:12" ht="18">
      <c r="A106" s="526" t="s">
        <v>360</v>
      </c>
      <c r="B106" s="517">
        <f>((D100*100)^2-'General values'!$C$38*'General values'!$C$44*D101*'General values'!$C$39*D105*((D102*3.6*10^6/10.8*24)*'General values'!$C$37/'General values'!$C$35/'General values'!$C$36/Pipeline!D99^2.5)^2)^0.5/100</f>
        <v>27.105366739905097</v>
      </c>
      <c r="C106" s="393"/>
      <c r="D106" s="599">
        <f>IF(ISBLANK(C106),B106,C106)</f>
        <v>27.105366739905097</v>
      </c>
      <c r="E106" s="415" t="s">
        <v>59</v>
      </c>
      <c r="F106" s="658" t="str">
        <f>"Pressure after "&amp;D101&amp;" km"</f>
        <v>Pressure after 300 km</v>
      </c>
      <c r="G106" s="1217"/>
      <c r="K106" s="668">
        <v>600</v>
      </c>
      <c r="L106" s="669" t="e">
        <v>#NUM!</v>
      </c>
    </row>
    <row r="107" spans="1:12" ht="18">
      <c r="A107" s="526" t="s">
        <v>361</v>
      </c>
      <c r="B107" s="517">
        <f>14.734*'General values'!$C$37/'General values'!$C$36*'General values'!$C$39*'General values'!$C$44/(100*SQRT(0.05131*'General values'!$C$39*'General values'!$C$40*'General values'!$C$44/'General values'!$C$38/(Pipeline!D100*100)))*(D102*3.6*10^6/10.8*24)/Pipeline!D99^2/100</f>
        <v>9.7780139502224017</v>
      </c>
      <c r="C107" s="393"/>
      <c r="D107" s="599">
        <f>IF(ISBLANK(C107),B107,C107)</f>
        <v>9.7780139502224017</v>
      </c>
      <c r="E107" s="415" t="s">
        <v>59</v>
      </c>
      <c r="F107" s="658" t="s">
        <v>362</v>
      </c>
      <c r="G107" s="1218"/>
      <c r="K107" s="668">
        <v>650</v>
      </c>
      <c r="L107" s="669" t="e">
        <v>#NUM!</v>
      </c>
    </row>
    <row r="108" spans="1:12" ht="17" thickBot="1">
      <c r="A108" s="1219" t="str">
        <f>IF(D106&gt;D107,"","Pressure below minimum pipeline pressure. Edit L_compr or check other values")</f>
        <v/>
      </c>
      <c r="B108" s="1220"/>
      <c r="C108" s="1220"/>
      <c r="D108" s="1220"/>
      <c r="E108" s="1220"/>
      <c r="F108" s="1220"/>
      <c r="G108" s="1221"/>
      <c r="K108" s="670">
        <v>700</v>
      </c>
      <c r="L108" s="671" t="e">
        <v>#NUM!</v>
      </c>
    </row>
    <row r="110" spans="1:12">
      <c r="A110" s="1244" t="s">
        <v>363</v>
      </c>
      <c r="B110" s="1245"/>
      <c r="C110" s="1242">
        <f>D97/(1-(D97+1)^-D96)</f>
        <v>6.6461535920675496E-2</v>
      </c>
      <c r="D110" s="1243"/>
      <c r="E110" s="415" t="s">
        <v>364</v>
      </c>
      <c r="F110" s="658" t="s">
        <v>289</v>
      </c>
    </row>
    <row r="111" spans="1:12" ht="18">
      <c r="A111" s="1244" t="s">
        <v>296</v>
      </c>
      <c r="B111" s="1245"/>
      <c r="C111" s="1242">
        <f>D94*10^6/(D102*10^6)/8760*33.3*1000</f>
        <v>4.7517123287671232</v>
      </c>
      <c r="D111" s="1243"/>
      <c r="E111" s="415" t="s">
        <v>365</v>
      </c>
      <c r="F111" s="658" t="s">
        <v>366</v>
      </c>
    </row>
    <row r="112" spans="1:12" ht="18">
      <c r="A112" s="1244" t="s">
        <v>376</v>
      </c>
      <c r="B112" s="1245"/>
      <c r="C112" s="1246">
        <f>(C110+D95)/D103*C111*E85/1000</f>
        <v>0</v>
      </c>
      <c r="D112" s="1247"/>
      <c r="E112" s="663" t="s">
        <v>368</v>
      </c>
      <c r="F112" s="658" t="s">
        <v>377</v>
      </c>
    </row>
    <row r="113" spans="1:6">
      <c r="A113" s="280"/>
      <c r="B113" s="280"/>
      <c r="C113" s="280"/>
      <c r="D113" s="280"/>
      <c r="E113" s="280"/>
      <c r="F113" s="280"/>
    </row>
  </sheetData>
  <sheetProtection algorithmName="SHA-512" hashValue="Cvqf4KKiiVjLx5DApGxpwYplIZlGP7qOlQUuLgMqHFRSHhR3AMBP1cp4Ii+zrnqYWv49bPyQJKhwpGAkXvLZzw==" saltValue="AkxtXtqbA3L5sv0LV+dgOg==" spinCount="100000" sheet="1" objects="1" scenarios="1"/>
  <mergeCells count="68">
    <mergeCell ref="A80:B80"/>
    <mergeCell ref="C80:D80"/>
    <mergeCell ref="A83:G83"/>
    <mergeCell ref="A85:D85"/>
    <mergeCell ref="A86:D86"/>
    <mergeCell ref="E86:G86"/>
    <mergeCell ref="A112:B112"/>
    <mergeCell ref="C112:D112"/>
    <mergeCell ref="A87:D88"/>
    <mergeCell ref="E87:G87"/>
    <mergeCell ref="E88:G88"/>
    <mergeCell ref="A89:G90"/>
    <mergeCell ref="G94:G97"/>
    <mergeCell ref="G99:G103"/>
    <mergeCell ref="A110:B110"/>
    <mergeCell ref="C110:D110"/>
    <mergeCell ref="A111:B111"/>
    <mergeCell ref="C111:D111"/>
    <mergeCell ref="G105:G107"/>
    <mergeCell ref="A108:G108"/>
    <mergeCell ref="C78:D78"/>
    <mergeCell ref="A79:B79"/>
    <mergeCell ref="C79:D79"/>
    <mergeCell ref="A51:G51"/>
    <mergeCell ref="A53:D53"/>
    <mergeCell ref="A54:D54"/>
    <mergeCell ref="E54:G54"/>
    <mergeCell ref="A55:D56"/>
    <mergeCell ref="E55:G55"/>
    <mergeCell ref="E56:G56"/>
    <mergeCell ref="A57:G58"/>
    <mergeCell ref="G62:G65"/>
    <mergeCell ref="G67:G71"/>
    <mergeCell ref="A78:B78"/>
    <mergeCell ref="A76:G76"/>
    <mergeCell ref="C46:D46"/>
    <mergeCell ref="A46:B46"/>
    <mergeCell ref="A47:B47"/>
    <mergeCell ref="C47:D47"/>
    <mergeCell ref="A48:B48"/>
    <mergeCell ref="C48:D48"/>
    <mergeCell ref="E14:G14"/>
    <mergeCell ref="A16:D16"/>
    <mergeCell ref="E16:G16"/>
    <mergeCell ref="G30:G33"/>
    <mergeCell ref="G35:G39"/>
    <mergeCell ref="E22:G22"/>
    <mergeCell ref="E23:G23"/>
    <mergeCell ref="A23:D24"/>
    <mergeCell ref="E24:G24"/>
    <mergeCell ref="A25:G26"/>
    <mergeCell ref="A22:D22"/>
    <mergeCell ref="G41:G43"/>
    <mergeCell ref="A44:G44"/>
    <mergeCell ref="G73:G75"/>
    <mergeCell ref="A3:G4"/>
    <mergeCell ref="A5:D6"/>
    <mergeCell ref="E5:G6"/>
    <mergeCell ref="A13:D13"/>
    <mergeCell ref="E13:G13"/>
    <mergeCell ref="A8:G9"/>
    <mergeCell ref="A10:D11"/>
    <mergeCell ref="E10:G11"/>
    <mergeCell ref="A19:G19"/>
    <mergeCell ref="A21:D21"/>
    <mergeCell ref="A15:D15"/>
    <mergeCell ref="E15:G15"/>
    <mergeCell ref="A14:D14"/>
  </mergeCells>
  <hyperlinks>
    <hyperlink ref="A1" location="HOME!A1" display="HOME" xr:uid="{233C0B34-011B-4FFA-8F51-8EC32B5A1DE8}"/>
    <hyperlink ref="H22" location="HOME!F17" display="HOME!F17" xr:uid="{F6EF37E4-81CB-B749-8DB4-82BD971D27FC}"/>
    <hyperlink ref="H54" location="HOME!G17" display="HOME!G17" xr:uid="{41993673-245D-A84B-B2BE-C494FAE5BFA7}"/>
    <hyperlink ref="H86" location="HOME!J17" display="HOME!J17" xr:uid="{B5C2E9D2-0FD9-994C-BA62-F9C83317888B}"/>
  </hyperlink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E3CBAFB-6D36-48E4-A3BF-883120428023}">
          <x14:formula1>
            <xm:f>'List DB'!$G$11:$G$13</xm:f>
          </x14:formula1>
          <xm:sqref>E23:G23 E55:G55 E87:G87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2F25F-CE9A-412C-ACBD-BE1900F04B91}">
  <sheetPr>
    <tabColor theme="5" tint="0.59999389629810485"/>
  </sheetPr>
  <dimension ref="A1:J47"/>
  <sheetViews>
    <sheetView zoomScale="80" zoomScaleNormal="80" workbookViewId="0"/>
  </sheetViews>
  <sheetFormatPr baseColWidth="10" defaultColWidth="8.83203125" defaultRowHeight="16"/>
  <cols>
    <col min="1" max="1" width="9.33203125" style="2" bestFit="1" customWidth="1"/>
    <col min="2" max="2" width="12.5" style="2" bestFit="1" customWidth="1"/>
    <col min="3" max="3" width="8.83203125" style="2"/>
    <col min="4" max="4" width="12.5" style="2" bestFit="1" customWidth="1"/>
    <col min="5" max="5" width="11.83203125" style="2" customWidth="1"/>
    <col min="6" max="6" width="46.5" style="2" bestFit="1" customWidth="1"/>
    <col min="7" max="8" width="8.83203125" style="2"/>
    <col min="9" max="9" width="10" style="2" bestFit="1" customWidth="1"/>
    <col min="10" max="16384" width="8.83203125" style="2"/>
  </cols>
  <sheetData>
    <row r="1" spans="1:7">
      <c r="A1" s="213" t="s">
        <v>234</v>
      </c>
    </row>
    <row r="2" spans="1:7" ht="17" thickBot="1"/>
    <row r="3" spans="1:7">
      <c r="A3" s="1254" t="s">
        <v>1068</v>
      </c>
      <c r="B3" s="1255"/>
      <c r="C3" s="1255"/>
      <c r="D3" s="1255"/>
      <c r="E3" s="1255"/>
      <c r="F3" s="1255"/>
      <c r="G3" s="1256"/>
    </row>
    <row r="4" spans="1:7">
      <c r="A4" s="1257"/>
      <c r="B4" s="1258"/>
      <c r="C4" s="1258"/>
      <c r="D4" s="1258"/>
      <c r="E4" s="1258"/>
      <c r="F4" s="1258"/>
      <c r="G4" s="1259"/>
    </row>
    <row r="5" spans="1:7">
      <c r="A5" s="1260">
        <f>C44</f>
        <v>9.9449437316751037E-3</v>
      </c>
      <c r="B5" s="1261"/>
      <c r="C5" s="1261"/>
      <c r="D5" s="1261"/>
      <c r="E5" s="1264" t="s">
        <v>236</v>
      </c>
      <c r="F5" s="1264"/>
      <c r="G5" s="1265"/>
    </row>
    <row r="6" spans="1:7" ht="17" thickBot="1">
      <c r="A6" s="1262"/>
      <c r="B6" s="1263"/>
      <c r="C6" s="1263"/>
      <c r="D6" s="1263"/>
      <c r="E6" s="1266"/>
      <c r="F6" s="1266"/>
      <c r="G6" s="1267"/>
    </row>
    <row r="8" spans="1:7">
      <c r="A8" s="1122" t="s">
        <v>326</v>
      </c>
      <c r="B8" s="1122"/>
      <c r="C8" s="1122"/>
      <c r="D8" s="1123"/>
      <c r="E8" s="1268" t="str">
        <f>HOME!$C$9</f>
        <v>Spain</v>
      </c>
      <c r="F8" s="1268"/>
      <c r="G8" s="1252"/>
    </row>
    <row r="9" spans="1:7">
      <c r="A9" s="1122" t="s">
        <v>327</v>
      </c>
      <c r="B9" s="1122"/>
      <c r="C9" s="1122"/>
      <c r="D9" s="1123"/>
      <c r="E9" s="1252" t="str">
        <f>HOME!$B$77</f>
        <v>Spain</v>
      </c>
      <c r="F9" s="1253"/>
      <c r="G9" s="1253"/>
    </row>
    <row r="10" spans="1:7">
      <c r="A10" s="1122" t="s">
        <v>237</v>
      </c>
      <c r="B10" s="1122"/>
      <c r="C10" s="1122"/>
      <c r="D10" s="1123"/>
      <c r="E10" s="1252">
        <f>HOME!A9</f>
        <v>2022</v>
      </c>
      <c r="F10" s="1253"/>
      <c r="G10" s="1253"/>
    </row>
    <row r="12" spans="1:7">
      <c r="A12" s="1269" t="s">
        <v>1069</v>
      </c>
      <c r="B12" s="1270"/>
      <c r="C12" s="1270"/>
      <c r="D12" s="1270"/>
      <c r="E12" s="1270"/>
      <c r="F12" s="1270"/>
      <c r="G12" s="1271"/>
    </row>
    <row r="14" spans="1:7">
      <c r="A14" s="1122" t="s">
        <v>330</v>
      </c>
      <c r="B14" s="1122"/>
      <c r="C14" s="1122"/>
      <c r="D14" s="1123"/>
      <c r="E14" s="453">
        <f>IF(HOME!B87="Ship",HOME!D87,0)</f>
        <v>0</v>
      </c>
      <c r="F14" s="63" t="s">
        <v>331</v>
      </c>
      <c r="G14" s="6"/>
    </row>
    <row r="15" spans="1:7">
      <c r="A15" s="1122" t="s">
        <v>116</v>
      </c>
      <c r="B15" s="1122"/>
      <c r="C15" s="1122"/>
      <c r="D15" s="1123"/>
      <c r="E15" s="453" t="str">
        <f>HOME!B90</f>
        <v>NH3</v>
      </c>
      <c r="F15" s="63"/>
      <c r="G15" s="6"/>
    </row>
    <row r="16" spans="1:7">
      <c r="A16" s="1122" t="s">
        <v>1070</v>
      </c>
      <c r="B16" s="1122"/>
      <c r="C16" s="1122"/>
      <c r="D16" s="1123"/>
      <c r="E16" s="453" t="str">
        <f>IF(E15="LH2","H2","HFO")</f>
        <v>HFO</v>
      </c>
      <c r="F16" s="63"/>
      <c r="G16" s="6"/>
    </row>
    <row r="18" spans="1:10">
      <c r="A18" s="7" t="s">
        <v>154</v>
      </c>
      <c r="B18" s="7" t="s">
        <v>244</v>
      </c>
      <c r="C18" s="7" t="s">
        <v>245</v>
      </c>
      <c r="D18" s="7" t="s">
        <v>246</v>
      </c>
      <c r="E18" s="7" t="s">
        <v>247</v>
      </c>
      <c r="F18" s="224" t="s">
        <v>248</v>
      </c>
      <c r="G18" s="225"/>
    </row>
    <row r="20" spans="1:10">
      <c r="A20" s="439" t="s">
        <v>296</v>
      </c>
      <c r="B20" s="383" cm="1">
        <f t="array" ref="B20">IFERROR(INDEX(Tb_SHv[],MATCH(A20,Tb_SHv[Parameter],0),HLOOKUP($E$15,'T&amp;D Data'!$O$2:$V$3,2,FALSE)+2),"-")*(1-'T&amp;D Data'!O13*(E10-2020)/(2030-2020))</f>
        <v>74.5840800471818</v>
      </c>
      <c r="C20" s="384"/>
      <c r="D20" s="385">
        <f>IF(ISBLANK(C20),B20,C20)</f>
        <v>74.5840800471818</v>
      </c>
      <c r="E20" s="386" t="s">
        <v>1071</v>
      </c>
      <c r="F20" s="3" t="s">
        <v>1072</v>
      </c>
    </row>
    <row r="21" spans="1:10" ht="18">
      <c r="A21" s="439" t="s">
        <v>1073</v>
      </c>
      <c r="B21" s="392" cm="1">
        <f t="array" ref="B21">IFERROR(INDEX(Tb_SHv[],MATCH(A21,Tb_SHv[Parameter],0),HLOOKUP($E$15,'T&amp;D Data'!$O$2:$V$3,2,FALSE)+2),"-")</f>
        <v>53000</v>
      </c>
      <c r="C21" s="393"/>
      <c r="D21" s="440">
        <f>IF(ISBLANK(C21),B21,C21)</f>
        <v>53000</v>
      </c>
      <c r="E21" s="386" t="str">
        <f>"[t_"&amp;E15&amp;"/ship]"</f>
        <v>[t_NH3/ship]</v>
      </c>
      <c r="F21" s="3" t="s">
        <v>1074</v>
      </c>
    </row>
    <row r="22" spans="1:10" ht="18">
      <c r="A22" s="441" t="s">
        <v>1075</v>
      </c>
      <c r="B22" s="410">
        <f>IF(E15="NH3",D21*'General values'!B29,D21)</f>
        <v>9328</v>
      </c>
      <c r="C22" s="384"/>
      <c r="D22" s="442">
        <f>IF(ISBLANK(C22),B22,C22)</f>
        <v>9328</v>
      </c>
      <c r="E22" s="413" t="s">
        <v>1076</v>
      </c>
      <c r="F22" s="3" t="s">
        <v>1077</v>
      </c>
    </row>
    <row r="23" spans="1:10">
      <c r="A23" s="439" t="s">
        <v>296</v>
      </c>
      <c r="B23" s="443">
        <f>D20*10^6/(D22*10^3)</f>
        <v>7.9957204167218912</v>
      </c>
      <c r="C23" s="393"/>
      <c r="D23" s="444">
        <f>IF(ISBLANK(C23),B23,C23)</f>
        <v>7.9957204167218912</v>
      </c>
      <c r="E23" s="413" t="s">
        <v>75</v>
      </c>
      <c r="F23" s="3" t="s">
        <v>1078</v>
      </c>
    </row>
    <row r="24" spans="1:10">
      <c r="A24" s="391"/>
      <c r="B24" s="391"/>
      <c r="C24" s="391"/>
      <c r="D24" s="391"/>
      <c r="E24" s="391"/>
    </row>
    <row r="25" spans="1:10">
      <c r="A25" s="439" t="s">
        <v>340</v>
      </c>
      <c r="B25" s="387" cm="1">
        <f t="array" ref="B25">IFERROR(INDEX(Tb_SHv[],MATCH(A25,Tb_SHv[Parameter],0),HLOOKUP($E$15,'T&amp;D Data'!$O$2:$V$3,2,FALSE)+2),"-")</f>
        <v>0.04</v>
      </c>
      <c r="C25" s="388"/>
      <c r="D25" s="389">
        <f>IF(ISBLANK(C25),B25,C25)</f>
        <v>0.04</v>
      </c>
      <c r="E25" s="386"/>
      <c r="F25" s="3" t="s">
        <v>1079</v>
      </c>
    </row>
    <row r="26" spans="1:10">
      <c r="A26" s="439" t="s">
        <v>741</v>
      </c>
      <c r="B26" s="392" cm="1">
        <f t="array" ref="B26">IFERROR(INDEX(Tb_SHv[],MATCH(A26,Tb_SHv[Parameter],0),HLOOKUP($E$15,'T&amp;D Data'!$O$2:$V$3,2,FALSE)+2),"-")</f>
        <v>30</v>
      </c>
      <c r="C26" s="393"/>
      <c r="D26" s="445">
        <f>IF(ISBLANK(C26),B26,C26)</f>
        <v>30</v>
      </c>
      <c r="E26" s="386" t="s">
        <v>207</v>
      </c>
      <c r="F26" s="3" t="s">
        <v>1080</v>
      </c>
    </row>
    <row r="27" spans="1:10">
      <c r="A27" s="439" t="s">
        <v>211</v>
      </c>
      <c r="B27" s="387" cm="1">
        <f t="array" ref="B27">(IFERROR(INDEX(Tb_SHv[],MATCH(A27,Tb_SHv[Parameter],0),HLOOKUP("General",'T&amp;D Data'!$O$2:$V$3,2,FALSE)+2),"-")+1)/(1+'General values'!R9)-1</f>
        <v>6.1086139562302133E-2</v>
      </c>
      <c r="C27" s="388"/>
      <c r="D27" s="389">
        <f>IF(ISBLANK(C27),B27,C27)</f>
        <v>6.1086139562302133E-2</v>
      </c>
      <c r="E27" s="386"/>
      <c r="F27" s="3" t="s">
        <v>284</v>
      </c>
    </row>
    <row r="28" spans="1:10">
      <c r="A28" s="391"/>
      <c r="B28" s="391"/>
      <c r="C28" s="391"/>
      <c r="D28" s="391"/>
      <c r="E28" s="391"/>
    </row>
    <row r="29" spans="1:10" ht="18">
      <c r="A29" s="439" t="s">
        <v>1081</v>
      </c>
      <c r="B29" s="392">
        <f>'T&amp;D Data'!O9</f>
        <v>30</v>
      </c>
      <c r="C29" s="393"/>
      <c r="D29" s="445">
        <f>IF(ISBLANK(C29),B29,C29)</f>
        <v>30</v>
      </c>
      <c r="E29" s="386" t="s">
        <v>1082</v>
      </c>
      <c r="F29" s="3" t="s">
        <v>1083</v>
      </c>
    </row>
    <row r="30" spans="1:10" ht="18">
      <c r="A30" s="439" t="s">
        <v>1084</v>
      </c>
      <c r="B30" s="392">
        <f>'T&amp;D Data'!O10</f>
        <v>48</v>
      </c>
      <c r="C30" s="393"/>
      <c r="D30" s="445">
        <f>IF(ISBLANK(C30),B30,C30)</f>
        <v>48</v>
      </c>
      <c r="E30" s="386" t="s">
        <v>256</v>
      </c>
      <c r="F30" s="3" t="s">
        <v>1085</v>
      </c>
    </row>
    <row r="31" spans="1:10">
      <c r="A31" s="446"/>
      <c r="B31" s="446"/>
      <c r="C31" s="446"/>
      <c r="D31" s="446"/>
      <c r="E31" s="446"/>
      <c r="F31"/>
    </row>
    <row r="32" spans="1:10">
      <c r="A32" s="439" t="str">
        <f>E16&amp;" price"</f>
        <v>HFO price</v>
      </c>
      <c r="B32" s="447">
        <f>IF(E16="HFO",AVERAGE(INDEX(Tb_Fuel[],MATCH(E10+1,Tb_Fuel[Year],0),HLOOKUP("Global - HFO",'Fuel Data'!$BB$2:$BX$3,2,FALSE)+1):INDEX(Tb_Fuel[],MATCH(E10+D26,Tb_Fuel[Year],0),HLOOKUP("Global - HFO",'Fuel Data'!$BB$2:$BX$3,2,FALSE)+1)),IF(E16="H2",HOME!H58/'General values'!C9,""))</f>
        <v>1.0113910956318826E-2</v>
      </c>
      <c r="C32" s="384"/>
      <c r="D32" s="448">
        <f>IF(ISBLANK(C32),B32,C32)</f>
        <v>1.0113910956318826E-2</v>
      </c>
      <c r="E32" s="386" t="s">
        <v>1022</v>
      </c>
      <c r="F32" s="3" t="str">
        <f>IF(E16="H2","Price assumed to be equal to the H2 production cost in "&amp;HOME!C9,"Average global "&amp;E16&amp;" price")</f>
        <v>Average global HFO price</v>
      </c>
      <c r="J32" s="267"/>
    </row>
    <row r="33" spans="1:9">
      <c r="A33" s="439" t="str">
        <f>E16&amp;" cons."</f>
        <v>HFO cons.</v>
      </c>
      <c r="B33" s="392" cm="1">
        <f t="array" ref="B33">IFERROR(INDEX(Tb_SHv[],MATCH("Fuel cons.",Tb_SHv[Parameter],0),HLOOKUP($E$15,'T&amp;D Data'!$O$2:$V$3,2,FALSE)+2),"-")</f>
        <v>2500</v>
      </c>
      <c r="C33" s="393"/>
      <c r="D33" s="445">
        <f>IF(ISBLANK(C33),B33,C33)</f>
        <v>2500</v>
      </c>
      <c r="E33" s="386" t="s">
        <v>1086</v>
      </c>
      <c r="F33" s="3" t="str">
        <f>E16&amp;" consumption"</f>
        <v>HFO consumption</v>
      </c>
    </row>
    <row r="34" spans="1:9">
      <c r="A34" s="391"/>
      <c r="B34" s="391"/>
      <c r="C34" s="391"/>
      <c r="D34" s="391"/>
      <c r="E34" s="391"/>
    </row>
    <row r="35" spans="1:9">
      <c r="A35" s="439" t="s">
        <v>1087</v>
      </c>
      <c r="B35" s="449" t="str" cm="1">
        <f t="array" ref="B35">IFERROR(INDEX(Tb_SHv[],MATCH(A35,Tb_SHv[Parameter],0),HLOOKUP($E$15,'T&amp;D Data'!$O$2:$V$3,2,FALSE)+2),"-")</f>
        <v>-</v>
      </c>
      <c r="C35" s="450"/>
      <c r="D35" s="451" t="str">
        <f>IF(ISBLANK(C35),B35,C35)</f>
        <v>-</v>
      </c>
      <c r="E35" s="386" t="s">
        <v>1088</v>
      </c>
      <c r="F35" s="3" t="s">
        <v>1089</v>
      </c>
      <c r="I35" s="268"/>
    </row>
    <row r="36" spans="1:9">
      <c r="A36" s="391"/>
      <c r="B36" s="391"/>
      <c r="C36" s="391"/>
      <c r="D36" s="391"/>
      <c r="E36" s="391"/>
    </row>
    <row r="37" spans="1:9">
      <c r="A37" s="1272" t="s">
        <v>742</v>
      </c>
      <c r="B37" s="1273"/>
      <c r="C37" s="1274">
        <f>D27/(1-(D27+1)^-D26)</f>
        <v>7.3495228474659821E-2</v>
      </c>
      <c r="D37" s="1275"/>
      <c r="E37" s="413"/>
      <c r="F37" s="3" t="s">
        <v>289</v>
      </c>
    </row>
    <row r="38" spans="1:9">
      <c r="A38" s="1272" t="s">
        <v>1090</v>
      </c>
      <c r="B38" s="1273"/>
      <c r="C38" s="1276">
        <f>8760/(2*(E14/D29+D30))</f>
        <v>91.25</v>
      </c>
      <c r="D38" s="1277"/>
      <c r="E38" s="413"/>
      <c r="F38" s="3" t="s">
        <v>1091</v>
      </c>
    </row>
    <row r="39" spans="1:9">
      <c r="A39" s="391"/>
      <c r="B39" s="391"/>
      <c r="C39" s="391"/>
      <c r="D39" s="391"/>
      <c r="E39" s="391"/>
    </row>
    <row r="40" spans="1:9" ht="18">
      <c r="A40" s="1272" t="s">
        <v>1092</v>
      </c>
      <c r="B40" s="1273"/>
      <c r="C40" s="1278">
        <f>(C37+D25)*D23/C38</f>
        <v>9.9449437316751037E-3</v>
      </c>
      <c r="D40" s="1279"/>
      <c r="E40" s="413" t="s">
        <v>368</v>
      </c>
      <c r="F40" s="3" t="s">
        <v>1093</v>
      </c>
    </row>
    <row r="41" spans="1:9" ht="18">
      <c r="A41" s="1272" t="s">
        <v>1094</v>
      </c>
      <c r="B41" s="1273"/>
      <c r="C41" s="1278">
        <f>IF(E16="H2",D32,IF(ISBLANK(C32),NPV(D27,INDEX(Tb_Fuel[],MATCH(E10+1,Tb_Fuel[Year],0),HLOOKUP("Global - HFO",'Fuel Data'!$BB$2:$BX$3,2,FALSE)+1):INDEX(Tb_Fuel[],MATCH(E10+D26,Tb_Fuel[Year],0),HLOOKUP("Global - HFO",'Fuel Data'!$BB$2:$BX$3,2,FALSE)+1))*C37,D32))*D33*2*E14/(D22*1000)</f>
        <v>0</v>
      </c>
      <c r="D41" s="1279"/>
      <c r="E41" s="413" t="s">
        <v>368</v>
      </c>
      <c r="F41" s="3" t="s">
        <v>1095</v>
      </c>
    </row>
    <row r="42" spans="1:9" ht="18">
      <c r="A42" s="1272" t="s">
        <v>1096</v>
      </c>
      <c r="B42" s="1273"/>
      <c r="C42" s="1278">
        <f>IF(E16="H2",D35/24*(E14/D29+D30)*HOME!H58,0)</f>
        <v>0</v>
      </c>
      <c r="D42" s="1279"/>
      <c r="E42" s="413" t="s">
        <v>368</v>
      </c>
      <c r="F42" s="3" t="s">
        <v>1097</v>
      </c>
    </row>
    <row r="43" spans="1:9">
      <c r="A43" s="391"/>
      <c r="B43" s="391"/>
      <c r="C43" s="391"/>
      <c r="D43" s="391"/>
      <c r="E43" s="391"/>
    </row>
    <row r="44" spans="1:9" ht="18">
      <c r="A44" s="1272" t="s">
        <v>1098</v>
      </c>
      <c r="B44" s="1273"/>
      <c r="C44" s="1280">
        <f>IF(E16="H2",C40+MAX(C41,C42),SUM(C40:C42))</f>
        <v>9.9449437316751037E-3</v>
      </c>
      <c r="D44" s="1281">
        <f>IF(D22="H2",D40+MAX(D41,D42),SUM(D40:D42))</f>
        <v>0</v>
      </c>
      <c r="E44" s="452" t="s">
        <v>368</v>
      </c>
      <c r="F44" s="3" t="s">
        <v>1099</v>
      </c>
    </row>
    <row r="47" spans="1:9">
      <c r="D47" s="174"/>
    </row>
  </sheetData>
  <sheetProtection algorithmName="SHA-512" hashValue="Q5T4Vpvw5NEhbYRs1fRrMiteEqW3mU99ewdCy8nySAQy2Sq9H5W5xsP58gNNe3JWxkfJSUhbaJoPXvsqm/LSMQ==" saltValue="DjXQyNdy2oJOk1nmid2lbg==" spinCount="100000" sheet="1" objects="1" scenarios="1"/>
  <mergeCells count="25">
    <mergeCell ref="A41:B41"/>
    <mergeCell ref="C41:D41"/>
    <mergeCell ref="A42:B42"/>
    <mergeCell ref="C42:D42"/>
    <mergeCell ref="A44:B44"/>
    <mergeCell ref="C44:D44"/>
    <mergeCell ref="A37:B37"/>
    <mergeCell ref="C37:D37"/>
    <mergeCell ref="A38:B38"/>
    <mergeCell ref="C38:D38"/>
    <mergeCell ref="A40:B40"/>
    <mergeCell ref="C40:D40"/>
    <mergeCell ref="A12:G12"/>
    <mergeCell ref="A14:D14"/>
    <mergeCell ref="A15:D15"/>
    <mergeCell ref="A16:D16"/>
    <mergeCell ref="A10:D10"/>
    <mergeCell ref="E10:G10"/>
    <mergeCell ref="A9:D9"/>
    <mergeCell ref="E9:G9"/>
    <mergeCell ref="A3:G4"/>
    <mergeCell ref="A5:D6"/>
    <mergeCell ref="E5:G6"/>
    <mergeCell ref="A8:D8"/>
    <mergeCell ref="E8:G8"/>
  </mergeCells>
  <hyperlinks>
    <hyperlink ref="A1" location="HOME!A1" display="HOME" xr:uid="{4049F669-57F1-461E-9016-C1C8D8896AC2}"/>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8490-4EA4-4264-83C2-20FFBC16AB32}">
  <sheetPr>
    <tabColor theme="5" tint="0.59999389629810485"/>
  </sheetPr>
  <dimension ref="A1:P56"/>
  <sheetViews>
    <sheetView zoomScale="60" zoomScaleNormal="60" workbookViewId="0">
      <selection activeCell="R31" sqref="R31"/>
    </sheetView>
  </sheetViews>
  <sheetFormatPr baseColWidth="10" defaultColWidth="8.83203125" defaultRowHeight="16"/>
  <cols>
    <col min="1" max="1" width="14.5" style="2" bestFit="1" customWidth="1"/>
    <col min="2" max="2" width="11.5" style="2" bestFit="1" customWidth="1"/>
    <col min="3" max="3" width="9.33203125" style="2" bestFit="1" customWidth="1"/>
    <col min="4" max="4" width="11.83203125" style="2" bestFit="1" customWidth="1"/>
    <col min="5" max="5" width="13" style="2" bestFit="1" customWidth="1"/>
    <col min="6" max="6" width="44.33203125" style="2" bestFit="1" customWidth="1"/>
    <col min="7" max="16384" width="8.83203125" style="2"/>
  </cols>
  <sheetData>
    <row r="1" spans="1:8">
      <c r="A1" s="213" t="s">
        <v>234</v>
      </c>
    </row>
    <row r="2" spans="1:8" ht="17" thickBot="1"/>
    <row r="3" spans="1:8">
      <c r="A3" s="1047" t="s">
        <v>1100</v>
      </c>
      <c r="B3" s="1048"/>
      <c r="C3" s="1048"/>
      <c r="D3" s="1048"/>
      <c r="E3" s="1048"/>
      <c r="F3" s="1048"/>
      <c r="G3" s="1049"/>
    </row>
    <row r="4" spans="1:8">
      <c r="A4" s="1050"/>
      <c r="B4" s="1051"/>
      <c r="C4" s="1051"/>
      <c r="D4" s="1051"/>
      <c r="E4" s="1051"/>
      <c r="F4" s="1051"/>
      <c r="G4" s="1052"/>
    </row>
    <row r="5" spans="1:8">
      <c r="A5" s="1055">
        <f>C56</f>
        <v>0.65887697604133755</v>
      </c>
      <c r="B5" s="1056"/>
      <c r="C5" s="1056"/>
      <c r="D5" s="1056"/>
      <c r="E5" s="1059" t="s">
        <v>236</v>
      </c>
      <c r="F5" s="1059"/>
      <c r="G5" s="1060"/>
    </row>
    <row r="6" spans="1:8" ht="17" thickBot="1">
      <c r="A6" s="1057"/>
      <c r="B6" s="1058"/>
      <c r="C6" s="1058"/>
      <c r="D6" s="1058"/>
      <c r="E6" s="1061"/>
      <c r="F6" s="1061"/>
      <c r="G6" s="1062"/>
    </row>
    <row r="7" spans="1:8">
      <c r="A7" s="280"/>
      <c r="B7" s="280"/>
      <c r="C7" s="280"/>
      <c r="D7" s="280"/>
      <c r="E7" s="280"/>
      <c r="F7" s="280"/>
      <c r="G7" s="280"/>
    </row>
    <row r="8" spans="1:8">
      <c r="A8" s="979" t="s">
        <v>328</v>
      </c>
      <c r="B8" s="980"/>
      <c r="C8" s="980"/>
      <c r="D8" s="980"/>
      <c r="E8" s="981" t="str">
        <f>HOME!$B$9</f>
        <v>Spain</v>
      </c>
      <c r="F8" s="981"/>
      <c r="G8" s="982"/>
    </row>
    <row r="9" spans="1:8">
      <c r="A9" s="1053" t="s">
        <v>237</v>
      </c>
      <c r="B9" s="1053"/>
      <c r="C9" s="1053"/>
      <c r="D9" s="979"/>
      <c r="E9" s="982">
        <f>HOME!A9</f>
        <v>2022</v>
      </c>
      <c r="F9" s="1054"/>
      <c r="G9" s="1054"/>
    </row>
    <row r="10" spans="1:8">
      <c r="A10" s="280"/>
      <c r="B10" s="280"/>
      <c r="C10" s="280"/>
      <c r="D10" s="280"/>
      <c r="E10" s="280"/>
      <c r="F10" s="280"/>
      <c r="G10" s="280"/>
    </row>
    <row r="11" spans="1:8">
      <c r="A11" s="280"/>
      <c r="B11" s="280"/>
      <c r="C11" s="280"/>
      <c r="D11" s="280"/>
      <c r="E11" s="280"/>
      <c r="F11" s="280"/>
      <c r="G11" s="280"/>
    </row>
    <row r="12" spans="1:8">
      <c r="A12" s="1248" t="s">
        <v>1101</v>
      </c>
      <c r="B12" s="1249"/>
      <c r="C12" s="1249"/>
      <c r="D12" s="1249"/>
      <c r="E12" s="1249"/>
      <c r="F12" s="1249"/>
      <c r="G12" s="1250"/>
    </row>
    <row r="13" spans="1:8">
      <c r="A13" s="280"/>
      <c r="B13" s="280"/>
      <c r="C13" s="280"/>
      <c r="D13" s="280"/>
      <c r="E13" s="280"/>
      <c r="F13" s="280"/>
      <c r="G13" s="280"/>
    </row>
    <row r="14" spans="1:8">
      <c r="A14" s="1053" t="s">
        <v>330</v>
      </c>
      <c r="B14" s="1053"/>
      <c r="C14" s="1053"/>
      <c r="D14" s="979"/>
      <c r="E14" s="333">
        <f>HOME!D106</f>
        <v>200</v>
      </c>
      <c r="F14" s="333" t="s">
        <v>331</v>
      </c>
      <c r="G14" s="335"/>
    </row>
    <row r="15" spans="1:8">
      <c r="A15" s="979" t="s">
        <v>116</v>
      </c>
      <c r="B15" s="980"/>
      <c r="C15" s="980"/>
      <c r="D15" s="980"/>
      <c r="E15" s="981" t="str">
        <f>HOME!B108</f>
        <v>gH2</v>
      </c>
      <c r="F15" s="981"/>
      <c r="G15" s="982"/>
      <c r="H15" s="213" t="str">
        <f>"-&gt; Change H2 carrier"</f>
        <v>-&gt; Change H2 carrier</v>
      </c>
    </row>
    <row r="16" spans="1:8">
      <c r="A16" s="1053" t="s">
        <v>1102</v>
      </c>
      <c r="B16" s="1053"/>
      <c r="C16" s="1053"/>
      <c r="D16" s="979"/>
      <c r="E16" s="982" t="s">
        <v>1103</v>
      </c>
      <c r="F16" s="1054"/>
      <c r="G16" s="1054"/>
    </row>
    <row r="18" spans="1:15">
      <c r="A18" s="1284" t="s">
        <v>1104</v>
      </c>
      <c r="B18" s="1284"/>
      <c r="C18" s="1284"/>
      <c r="D18" s="1285"/>
      <c r="E18" s="1282" t="s">
        <v>1105</v>
      </c>
      <c r="F18" s="1283"/>
      <c r="G18" s="1283"/>
    </row>
    <row r="19" spans="1:15">
      <c r="A19" s="1284" t="s">
        <v>1106</v>
      </c>
      <c r="B19" s="1284"/>
      <c r="C19" s="1284"/>
      <c r="D19" s="1285"/>
      <c r="E19" s="1282">
        <v>3</v>
      </c>
      <c r="F19" s="1283"/>
      <c r="G19" s="1283"/>
    </row>
    <row r="21" spans="1:15">
      <c r="A21" s="526" t="s">
        <v>154</v>
      </c>
      <c r="B21" s="526" t="s">
        <v>244</v>
      </c>
      <c r="C21" s="526" t="s">
        <v>245</v>
      </c>
      <c r="D21" s="526" t="s">
        <v>246</v>
      </c>
      <c r="E21" s="526" t="s">
        <v>247</v>
      </c>
      <c r="F21" s="526" t="s">
        <v>248</v>
      </c>
    </row>
    <row r="22" spans="1:15">
      <c r="D22" s="280"/>
      <c r="E22" s="280"/>
      <c r="F22" s="280"/>
    </row>
    <row r="23" spans="1:15" ht="18">
      <c r="A23" s="526" t="s">
        <v>1107</v>
      </c>
      <c r="B23" s="507" cm="1">
        <f t="array" ref="B23">IF(E18="Distribution",IFERROR(INDEX(Tb_TRv[],MATCH(A23,Tb_TRv[Parameter],0),HLOOKUP("General",'T&amp;D Data'!$AA$2:$AH$3,2,FALSE)+2),"-"),IFERROR(INDEX(Tb_TRv[],MATCH(A23,Tb_TRv[Parameter],0),HLOOKUP("General",'T&amp;D Data'!$AA$2:$AH$3,2,FALSE)+2),"-")*(1+5%))</f>
        <v>105000</v>
      </c>
      <c r="C23" s="664"/>
      <c r="D23" s="661">
        <f t="shared" ref="D23:D28" si="0">IF(ISBLANK(C23),B23,C23)</f>
        <v>105000</v>
      </c>
      <c r="E23" s="335" t="s">
        <v>1108</v>
      </c>
      <c r="F23" s="658" t="s">
        <v>1109</v>
      </c>
    </row>
    <row r="24" spans="1:15" ht="18">
      <c r="A24" s="526" t="s">
        <v>1110</v>
      </c>
      <c r="B24" s="507" cm="1">
        <f t="array" ref="B24">IFERROR(INDEX(Tb_TRv[],MATCH(A24,Tb_TRv[Parameter],0),HLOOKUP("General",'T&amp;D Data'!$AA$2:$AH$3,2,FALSE)+2),"-")</f>
        <v>20000</v>
      </c>
      <c r="C24" s="664"/>
      <c r="D24" s="661">
        <f t="shared" si="0"/>
        <v>20000</v>
      </c>
      <c r="E24" s="335" t="s">
        <v>1108</v>
      </c>
      <c r="F24" s="658" t="s">
        <v>1111</v>
      </c>
    </row>
    <row r="25" spans="1:15" ht="18">
      <c r="A25" s="526" t="s">
        <v>1112</v>
      </c>
      <c r="B25" s="507" cm="1">
        <f t="array" ref="B25">IFERROR(INDEX(Tb_TRv[],MATCH(A25,Tb_TRv[Parameter],0),HLOOKUP($E$15,'T&amp;D Data'!$AA$2:$AH$3,2,FALSE)+2),"-")</f>
        <v>567000</v>
      </c>
      <c r="C25" s="664"/>
      <c r="D25" s="661">
        <f t="shared" si="0"/>
        <v>567000</v>
      </c>
      <c r="E25" s="335" t="s">
        <v>1108</v>
      </c>
      <c r="F25" s="658" t="s">
        <v>1113</v>
      </c>
    </row>
    <row r="26" spans="1:15" ht="18">
      <c r="A26" s="526" t="s">
        <v>1114</v>
      </c>
      <c r="B26" s="507" cm="1">
        <f t="array" ref="B26">IFERROR(INDEX(Tb_TRv[],MATCH(A26,Tb_TRv[Parameter],0),HLOOKUP($E$15,'T&amp;D Data'!$AA$2:$AH$3,2,FALSE)+2),"-")</f>
        <v>690</v>
      </c>
      <c r="C26" s="393"/>
      <c r="D26" s="661">
        <f t="shared" si="0"/>
        <v>690</v>
      </c>
      <c r="E26" s="335" t="str">
        <f>"[kg_"&amp;E15&amp;"/truck]"</f>
        <v>[kg_gH2/truck]</v>
      </c>
      <c r="F26" s="658" t="s">
        <v>1115</v>
      </c>
    </row>
    <row r="27" spans="1:15" ht="18">
      <c r="A27" s="571" t="s">
        <v>1116</v>
      </c>
      <c r="B27" s="689">
        <f>IF(E15="NH3",D26*'General values'!B29,D26)</f>
        <v>690</v>
      </c>
      <c r="C27" s="384"/>
      <c r="D27" s="686">
        <f t="shared" si="0"/>
        <v>690</v>
      </c>
      <c r="E27" s="415" t="s">
        <v>1117</v>
      </c>
      <c r="F27" s="658" t="s">
        <v>1118</v>
      </c>
      <c r="K27" s="208"/>
      <c r="O27" s="173"/>
    </row>
    <row r="28" spans="1:15">
      <c r="A28" s="526" t="s">
        <v>296</v>
      </c>
      <c r="B28" s="517">
        <f>SUM(D23:D25)/D27</f>
        <v>1002.8985507246376</v>
      </c>
      <c r="C28" s="393"/>
      <c r="D28" s="599">
        <f t="shared" si="0"/>
        <v>1002.8985507246376</v>
      </c>
      <c r="E28" s="415" t="s">
        <v>75</v>
      </c>
      <c r="F28" s="658" t="s">
        <v>1119</v>
      </c>
    </row>
    <row r="29" spans="1:15">
      <c r="A29" s="280"/>
      <c r="B29" s="280"/>
      <c r="C29" s="391"/>
      <c r="D29" s="280"/>
      <c r="E29" s="280"/>
      <c r="F29" s="280"/>
    </row>
    <row r="30" spans="1:15">
      <c r="A30" s="526" t="s">
        <v>1120</v>
      </c>
      <c r="B30" s="507">
        <f>IF(E18="Haulage",'T&amp;D Data'!AA21,'T&amp;D Data'!AA20)*E19</f>
        <v>330000</v>
      </c>
      <c r="C30" s="393"/>
      <c r="D30" s="660">
        <f>IF(ISBLANK(C30),B30,C30)</f>
        <v>330000</v>
      </c>
      <c r="E30" s="335" t="s">
        <v>1121</v>
      </c>
      <c r="F30" s="658" t="s">
        <v>1122</v>
      </c>
    </row>
    <row r="31" spans="1:15" ht="18">
      <c r="A31" s="526" t="s">
        <v>1123</v>
      </c>
      <c r="B31" s="689">
        <f>('T&amp;D Data'!AA18+('T&amp;D Data'!AA19-'T&amp;D Data'!AA18)*(Truck!D30-'T&amp;D Data'!AA20)/('T&amp;D Data'!AA21-'T&amp;D Data'!AA20))</f>
        <v>4500</v>
      </c>
      <c r="C31" s="393"/>
      <c r="D31" s="687">
        <f>IF(ISBLANK(C31),B31,C31)</f>
        <v>4500</v>
      </c>
      <c r="E31" s="415" t="s">
        <v>1124</v>
      </c>
      <c r="F31" s="658" t="s">
        <v>1125</v>
      </c>
      <c r="I31" s="267"/>
    </row>
    <row r="32" spans="1:15">
      <c r="A32" s="280"/>
      <c r="B32" s="280"/>
      <c r="C32" s="391"/>
      <c r="D32" s="280"/>
      <c r="E32" s="280"/>
      <c r="F32" s="280"/>
    </row>
    <row r="33" spans="1:16">
      <c r="A33" s="526" t="s">
        <v>301</v>
      </c>
      <c r="B33" s="505">
        <f>'T&amp;D Data'!AA9</f>
        <v>0.04</v>
      </c>
      <c r="C33" s="384"/>
      <c r="D33" s="660">
        <f>IF(ISBLANK(C33),B33,C33)</f>
        <v>0.04</v>
      </c>
      <c r="E33" s="335" t="s">
        <v>1126</v>
      </c>
      <c r="F33" s="658" t="s">
        <v>1127</v>
      </c>
      <c r="K33" s="173"/>
    </row>
    <row r="34" spans="1:16" ht="18">
      <c r="A34" s="526" t="s">
        <v>1128</v>
      </c>
      <c r="B34" s="507">
        <f>ROUND('T&amp;D Data'!AA11/Truck!D30,0)</f>
        <v>3</v>
      </c>
      <c r="C34" s="384"/>
      <c r="D34" s="688">
        <f>IF(ISBLANK(C34),B34,C34)</f>
        <v>3</v>
      </c>
      <c r="E34" s="335" t="s">
        <v>207</v>
      </c>
      <c r="F34" s="658" t="s">
        <v>1129</v>
      </c>
    </row>
    <row r="35" spans="1:16" ht="18">
      <c r="A35" s="526" t="s">
        <v>1130</v>
      </c>
      <c r="B35" s="507">
        <f>ROUND('T&amp;D Data'!AA12/D30,0)</f>
        <v>4</v>
      </c>
      <c r="C35" s="384"/>
      <c r="D35" s="688">
        <f>IF(ISBLANK(C35),B35,C35)</f>
        <v>4</v>
      </c>
      <c r="E35" s="335" t="s">
        <v>207</v>
      </c>
      <c r="F35" s="658" t="s">
        <v>1131</v>
      </c>
    </row>
    <row r="36" spans="1:16" ht="18">
      <c r="A36" s="526" t="s">
        <v>1132</v>
      </c>
      <c r="B36" s="507" cm="1">
        <f t="array" ref="B36">IFERROR(INDEX(Tb_TRv[],MATCH(A36,Tb_TRv[Parameter],0),HLOOKUP($E$15,'T&amp;D Data'!$AA$2:$AH$3,2,FALSE)+2),"-")</f>
        <v>6</v>
      </c>
      <c r="C36" s="393"/>
      <c r="D36" s="688">
        <f>IF(ISBLANK(C36),B36,C36)</f>
        <v>6</v>
      </c>
      <c r="E36" s="335" t="s">
        <v>207</v>
      </c>
      <c r="F36" s="658" t="s">
        <v>1133</v>
      </c>
    </row>
    <row r="37" spans="1:16">
      <c r="A37" s="526" t="s">
        <v>211</v>
      </c>
      <c r="B37" s="506">
        <f>('T&amp;D Data'!AA10+1)/(1+'General values'!R9)-1</f>
        <v>5.1261267899688212E-2</v>
      </c>
      <c r="C37" s="388"/>
      <c r="D37" s="512">
        <f>IF(ISBLANK(C37),B37,C37)</f>
        <v>5.1261267899688212E-2</v>
      </c>
      <c r="E37" s="335"/>
      <c r="F37" s="658" t="s">
        <v>284</v>
      </c>
    </row>
    <row r="38" spans="1:16">
      <c r="A38" s="280"/>
      <c r="B38" s="280"/>
      <c r="C38" s="391"/>
      <c r="D38" s="280"/>
      <c r="E38" s="280"/>
      <c r="F38" s="280"/>
    </row>
    <row r="39" spans="1:16">
      <c r="A39" s="526" t="str">
        <f>E16&amp;" price"</f>
        <v>Diesel price</v>
      </c>
      <c r="B39" s="505">
        <f>AVERAGE(INDEX(Tb_Fuel[],MATCH(E9+1,Tb_Fuel[Year],0),HLOOKUP("Global - Diesel",'Fuel Data'!$BB$2:$BX$3,2,FALSE)+1):INDEX(Tb_Fuel[],MATCH(E9+D36,Tb_Fuel[Year],0),HLOOKUP("Global - Diesel",'Fuel Data'!$BB$2:$BX$3,2,FALSE)+1))</f>
        <v>1.3</v>
      </c>
      <c r="C39" s="690"/>
      <c r="D39" s="594">
        <f>IF(ISBLANK(C39),B39,C39)</f>
        <v>1.3</v>
      </c>
      <c r="E39" s="335" t="str">
        <f>IF(E16="Diesel","[€/L]",IF(E16="H2","[€/kg]","[€/kWh]"))</f>
        <v>[€/L]</v>
      </c>
      <c r="F39" s="658" t="str">
        <f>"Average European "&amp;E16&amp;" price"</f>
        <v>Average European Diesel price</v>
      </c>
    </row>
    <row r="40" spans="1:16">
      <c r="A40" s="526" t="str">
        <f>E16&amp;" cons."</f>
        <v>Diesel cons.</v>
      </c>
      <c r="B40" s="505">
        <f>IF(E16="Diesel",IF(D30&gt;110000,'T&amp;D Data'!AA17,'T&amp;D Data'!AA16+('T&amp;D Data'!AA17-'T&amp;D Data'!AA16)*(Truck!D30-'T&amp;D Data'!AA20)/('T&amp;D Data'!AA21-'T&amp;D Data'!AA20)),"Missing data")</f>
        <v>0.26900000000000002</v>
      </c>
      <c r="C40" s="384"/>
      <c r="D40" s="594">
        <f>IF(ISBLANK(C40),B40,C40)</f>
        <v>0.26900000000000002</v>
      </c>
      <c r="E40" s="335" t="str">
        <f>IF(E16="Diesel","[L/km]",IF(E16="H2","[kg/km]","[kWh/km]"))</f>
        <v>[L/km]</v>
      </c>
      <c r="F40" s="658" t="str">
        <f>E16&amp;" consumption"</f>
        <v>Diesel consumption</v>
      </c>
    </row>
    <row r="41" spans="1:16">
      <c r="A41" s="280"/>
      <c r="B41" s="280"/>
      <c r="C41" s="391"/>
      <c r="D41" s="280"/>
      <c r="E41" s="280"/>
      <c r="F41" s="280"/>
      <c r="P41" s="176"/>
    </row>
    <row r="42" spans="1:16" ht="18">
      <c r="A42" s="526" t="s">
        <v>1134</v>
      </c>
      <c r="B42" s="508" cm="1">
        <f t="array" ref="B42">IFERROR(INDEX(Tb_TRv[],MATCH(A42&amp;","&amp;IF(E18="Distribution","D","H"),Tb_TRv[Parameter],0),HLOOKUP("General",'T&amp;D Data'!AA2:AH3,2,FALSE)+2),"-")</f>
        <v>20</v>
      </c>
      <c r="C42" s="384"/>
      <c r="D42" s="594">
        <f>IF(ISBLANK(C42),B42,C42)</f>
        <v>20</v>
      </c>
      <c r="E42" s="335" t="s">
        <v>1135</v>
      </c>
      <c r="F42" s="658" t="s">
        <v>1136</v>
      </c>
    </row>
    <row r="43" spans="1:16">
      <c r="A43" s="364"/>
      <c r="B43" s="364"/>
      <c r="C43" s="446"/>
      <c r="D43" s="364"/>
      <c r="E43" s="364"/>
      <c r="F43" s="364"/>
    </row>
    <row r="44" spans="1:16">
      <c r="A44" s="526" t="s">
        <v>1087</v>
      </c>
      <c r="B44" s="570">
        <f>'T&amp;D Data'!Q12</f>
        <v>2E-3</v>
      </c>
      <c r="C44" s="450"/>
      <c r="D44" s="597">
        <f>IF(ISBLANK(C44),B44,C44)</f>
        <v>2E-3</v>
      </c>
      <c r="E44" s="335" t="s">
        <v>1088</v>
      </c>
      <c r="F44" s="658" t="s">
        <v>1089</v>
      </c>
    </row>
    <row r="45" spans="1:16">
      <c r="A45" s="280"/>
      <c r="B45" s="280"/>
      <c r="D45" s="280"/>
      <c r="E45" s="280"/>
      <c r="F45" s="280"/>
    </row>
    <row r="46" spans="1:16">
      <c r="A46" s="1244" t="s">
        <v>1137</v>
      </c>
      <c r="B46" s="1245"/>
      <c r="C46" s="1242">
        <f>D37/(1-(D37+1)^-D34)</f>
        <v>0.36807673801704976</v>
      </c>
      <c r="D46" s="1243"/>
      <c r="E46" s="415"/>
      <c r="F46" s="658" t="s">
        <v>1138</v>
      </c>
    </row>
    <row r="47" spans="1:16">
      <c r="A47" s="1244" t="s">
        <v>1139</v>
      </c>
      <c r="B47" s="1245"/>
      <c r="C47" s="1242">
        <f>D37/(1-(D37+1)^-D35)</f>
        <v>0.28283853349706095</v>
      </c>
      <c r="D47" s="1243"/>
      <c r="E47" s="415"/>
      <c r="F47" s="658" t="s">
        <v>1140</v>
      </c>
    </row>
    <row r="48" spans="1:16">
      <c r="A48" s="1244" t="s">
        <v>1141</v>
      </c>
      <c r="B48" s="1245"/>
      <c r="C48" s="1242">
        <f>D37/(1-(D37+1)^-D36)</f>
        <v>0.19781285793615505</v>
      </c>
      <c r="D48" s="1243"/>
      <c r="E48" s="415"/>
      <c r="F48" s="658" t="s">
        <v>1142</v>
      </c>
    </row>
    <row r="49" spans="1:6">
      <c r="A49" s="1244" t="s">
        <v>1090</v>
      </c>
      <c r="B49" s="1245"/>
      <c r="C49" s="1286">
        <f>IF(E14=0,0,D30/(2*E14))</f>
        <v>825</v>
      </c>
      <c r="D49" s="1287"/>
      <c r="E49" s="415"/>
      <c r="F49" s="658" t="s">
        <v>1091</v>
      </c>
    </row>
    <row r="50" spans="1:6">
      <c r="A50" s="280"/>
      <c r="B50" s="280"/>
      <c r="C50" s="280"/>
      <c r="D50" s="280"/>
      <c r="E50" s="280"/>
      <c r="F50" s="280"/>
    </row>
    <row r="51" spans="1:6" ht="18">
      <c r="A51" s="1244" t="s">
        <v>1143</v>
      </c>
      <c r="B51" s="1245"/>
      <c r="C51" s="1242">
        <f>IF(E14=0,0,((D23*C46+D24*C47+D25*C48)/D27)/C49+D33*D30/D27/C49)</f>
        <v>0.2980495715617591</v>
      </c>
      <c r="D51" s="1243"/>
      <c r="E51" s="415" t="s">
        <v>368</v>
      </c>
      <c r="F51" s="658" t="s">
        <v>1144</v>
      </c>
    </row>
    <row r="52" spans="1:6" ht="18">
      <c r="A52" s="1244" t="s">
        <v>1145</v>
      </c>
      <c r="B52" s="1245"/>
      <c r="C52" s="1242">
        <f>IF(E14=0,0,D42*D31/(C49*D27))</f>
        <v>0.15810276679841898</v>
      </c>
      <c r="D52" s="1243"/>
      <c r="E52" s="415" t="s">
        <v>368</v>
      </c>
      <c r="F52" s="658" t="s">
        <v>1146</v>
      </c>
    </row>
    <row r="53" spans="1:6" ht="18">
      <c r="A53" s="1244" t="s">
        <v>1147</v>
      </c>
      <c r="B53" s="1245"/>
      <c r="C53" s="1242">
        <f>IF(E14&gt;0,D39*D40*2*E14/D27,0)</f>
        <v>0.20272463768115942</v>
      </c>
      <c r="D53" s="1243"/>
      <c r="E53" s="415" t="s">
        <v>368</v>
      </c>
      <c r="F53" s="658" t="s">
        <v>1095</v>
      </c>
    </row>
    <row r="54" spans="1:6" ht="18">
      <c r="A54" s="1244" t="s">
        <v>1148</v>
      </c>
      <c r="B54" s="1245"/>
      <c r="C54" s="1242">
        <f>IF(E15="LH2",D44/24*(E14/(D30/D31))*HOME!H58,0)</f>
        <v>0</v>
      </c>
      <c r="D54" s="1243"/>
      <c r="E54" s="415" t="s">
        <v>368</v>
      </c>
      <c r="F54" s="658" t="s">
        <v>1097</v>
      </c>
    </row>
    <row r="55" spans="1:6">
      <c r="A55" s="280"/>
      <c r="B55" s="280"/>
      <c r="C55" s="280"/>
      <c r="D55" s="280"/>
      <c r="E55" s="280"/>
      <c r="F55" s="280"/>
    </row>
    <row r="56" spans="1:6" ht="18">
      <c r="A56" s="1244" t="s">
        <v>1149</v>
      </c>
      <c r="B56" s="1245"/>
      <c r="C56" s="1246">
        <f>SUM(C51:D54)</f>
        <v>0.65887697604133755</v>
      </c>
      <c r="D56" s="1247">
        <f>IF(D27="H2",D51+MAX(D53,D54),SUM(D51:D54))</f>
        <v>0</v>
      </c>
      <c r="E56" s="663" t="s">
        <v>368</v>
      </c>
      <c r="F56" s="658" t="s">
        <v>1150</v>
      </c>
    </row>
  </sheetData>
  <sheetProtection algorithmName="SHA-512" hashValue="+/g01cpQ5UEfpm2LAPTSkM2YT7NxcU85kPNow37GrPcckp5eN493LsdxvBCj0b+MxrsCf2da97W7YYFLNiZ9cg==" saltValue="wRzV8MqM37INpLVvj24mQw==" spinCount="100000" sheet="1" objects="1" scenarios="1"/>
  <mergeCells count="35">
    <mergeCell ref="E19:G19"/>
    <mergeCell ref="A52:B52"/>
    <mergeCell ref="C52:D52"/>
    <mergeCell ref="A47:B47"/>
    <mergeCell ref="C47:D47"/>
    <mergeCell ref="A48:B48"/>
    <mergeCell ref="C48:D48"/>
    <mergeCell ref="A54:B54"/>
    <mergeCell ref="C54:D54"/>
    <mergeCell ref="A56:B56"/>
    <mergeCell ref="C56:D56"/>
    <mergeCell ref="A14:D14"/>
    <mergeCell ref="A18:D18"/>
    <mergeCell ref="A49:B49"/>
    <mergeCell ref="C49:D49"/>
    <mergeCell ref="A51:B51"/>
    <mergeCell ref="C51:D51"/>
    <mergeCell ref="A53:B53"/>
    <mergeCell ref="C53:D53"/>
    <mergeCell ref="A46:B46"/>
    <mergeCell ref="C46:D46"/>
    <mergeCell ref="A19:D19"/>
    <mergeCell ref="E18:G18"/>
    <mergeCell ref="A3:G4"/>
    <mergeCell ref="A5:D6"/>
    <mergeCell ref="E5:G6"/>
    <mergeCell ref="A8:D8"/>
    <mergeCell ref="E8:G8"/>
    <mergeCell ref="A9:D9"/>
    <mergeCell ref="E9:G9"/>
    <mergeCell ref="A12:G12"/>
    <mergeCell ref="A15:D15"/>
    <mergeCell ref="E15:G15"/>
    <mergeCell ref="A16:D16"/>
    <mergeCell ref="E16:G16"/>
  </mergeCells>
  <hyperlinks>
    <hyperlink ref="A1" location="HOME!A1" display="HOME" xr:uid="{C0F2EE1E-244D-4CE4-BCAC-E36543B6C108}"/>
    <hyperlink ref="H15" location="HOME!G15" display="HOME!G15" xr:uid="{2DBB5F29-1FAC-436A-B9DE-8EEA503206FA}"/>
  </hyperlink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704908B-689A-43F6-A1AE-4DDAA65541BD}">
          <x14:formula1>
            <xm:f>'List DB'!$K$11:$K$12</xm:f>
          </x14:formula1>
          <xm:sqref>E18:G18</xm:sqref>
        </x14:dataValidation>
        <x14:dataValidation type="list" allowBlank="1" showInputMessage="1" showErrorMessage="1" xr:uid="{EC4A5FB4-B642-4C04-8416-B38587F816A5}">
          <x14:formula1>
            <xm:f>'List DB'!$M$11:$M$13</xm:f>
          </x14:formula1>
          <xm:sqref>E19:G19</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2731-74B7-446A-8FA3-05D6244CE218}">
  <sheetPr>
    <tabColor theme="5" tint="0.79998168889431442"/>
  </sheetPr>
  <dimension ref="A1:AI22"/>
  <sheetViews>
    <sheetView zoomScale="80" zoomScaleNormal="80" workbookViewId="0">
      <selection activeCell="C13" sqref="C13"/>
    </sheetView>
  </sheetViews>
  <sheetFormatPr baseColWidth="10" defaultColWidth="10.5" defaultRowHeight="16"/>
  <cols>
    <col min="1" max="1" width="21" style="2" bestFit="1" customWidth="1"/>
    <col min="2" max="12" width="10.5" style="2"/>
    <col min="13" max="13" width="18.33203125" style="1292" bestFit="1" customWidth="1"/>
    <col min="14" max="14" width="14.83203125" style="1292" customWidth="1"/>
    <col min="15" max="15" width="12" style="1292" bestFit="1" customWidth="1"/>
    <col min="16" max="24" width="10.5" style="1292"/>
    <col min="25" max="25" width="14.5" style="2" bestFit="1" customWidth="1"/>
    <col min="26" max="26" width="12.5" style="2" customWidth="1"/>
    <col min="27" max="16384" width="10.5" style="2"/>
  </cols>
  <sheetData>
    <row r="1" spans="1:35" ht="16" customHeight="1">
      <c r="A1" s="1288" t="s">
        <v>1151</v>
      </c>
      <c r="B1" s="1288"/>
      <c r="C1" s="956"/>
      <c r="D1" s="958"/>
      <c r="E1" s="1289" t="s">
        <v>1152</v>
      </c>
      <c r="F1" s="1290"/>
      <c r="G1" s="1290"/>
      <c r="H1" s="1290"/>
      <c r="I1" s="1290"/>
      <c r="J1" s="1291"/>
      <c r="M1" s="1288" t="s">
        <v>1153</v>
      </c>
      <c r="N1" s="1288"/>
      <c r="O1" s="956"/>
      <c r="P1" s="958"/>
      <c r="Q1" s="1289" t="s">
        <v>1154</v>
      </c>
      <c r="R1" s="1290"/>
      <c r="S1" s="1290"/>
      <c r="T1" s="1290"/>
      <c r="U1" s="1290"/>
      <c r="V1" s="1291"/>
      <c r="W1" s="2"/>
      <c r="X1" s="2"/>
      <c r="Y1" s="1288" t="s">
        <v>1155</v>
      </c>
      <c r="Z1" s="1288"/>
      <c r="AA1" s="956"/>
      <c r="AB1" s="958"/>
      <c r="AC1" s="1289" t="s">
        <v>1154</v>
      </c>
      <c r="AD1" s="1290"/>
      <c r="AE1" s="1290"/>
      <c r="AF1" s="1290"/>
      <c r="AG1" s="1290"/>
      <c r="AH1" s="1291"/>
    </row>
    <row r="2" spans="1:35">
      <c r="A2" s="1288"/>
      <c r="B2" s="1288"/>
      <c r="C2" s="1214" t="str">
        <f>Tb_PLv[[#Headers],[General]]</f>
        <v>General</v>
      </c>
      <c r="D2" s="1214"/>
      <c r="E2" s="1214" t="str">
        <f>Tb_PLv[[#Headers],[Small]]</f>
        <v>Small</v>
      </c>
      <c r="F2" s="1214"/>
      <c r="G2" s="1214" t="str">
        <f>Tb_PLv[[#Headers],[Medium]]</f>
        <v>Medium</v>
      </c>
      <c r="H2" s="1214"/>
      <c r="I2" s="1214" t="str">
        <f>Tb_PLv[[#Headers],[Large]]</f>
        <v>Large</v>
      </c>
      <c r="J2" s="1214"/>
      <c r="M2" s="1288"/>
      <c r="N2" s="1288"/>
      <c r="O2" s="1214" t="str">
        <f>Tb_SHv[[#Headers],[General]]</f>
        <v>General</v>
      </c>
      <c r="P2" s="1214"/>
      <c r="Q2" s="1214" t="str">
        <f>Tb_SHv[[#Headers],[LH2]]</f>
        <v>LH2</v>
      </c>
      <c r="R2" s="1214"/>
      <c r="S2" s="1214" t="str">
        <f>Tb_SHv[[#Headers],[NH3]]</f>
        <v>NH3</v>
      </c>
      <c r="T2" s="1214"/>
      <c r="U2" s="1214" t="str">
        <f>Tb_SHv[[#Headers],[Other]]</f>
        <v>Other</v>
      </c>
      <c r="V2" s="1214"/>
      <c r="W2" s="2"/>
      <c r="X2" s="2"/>
      <c r="Y2" s="1288"/>
      <c r="Z2" s="1288"/>
      <c r="AA2" s="1214" t="str">
        <f>Tb_TRv[[#Headers],[General]]</f>
        <v>General</v>
      </c>
      <c r="AB2" s="1214"/>
      <c r="AC2" s="1214" t="str">
        <f>Tb_TRv[[#Headers],[gH2]]</f>
        <v>gH2</v>
      </c>
      <c r="AD2" s="1214"/>
      <c r="AE2" s="1214" t="str">
        <f>Tb_TRv[[#Headers],[LH2]]</f>
        <v>LH2</v>
      </c>
      <c r="AF2" s="1214"/>
      <c r="AG2" s="1214" t="str">
        <f>Tb_TRv[[#Headers],[NH3]]</f>
        <v>NH3</v>
      </c>
      <c r="AH2" s="1214"/>
    </row>
    <row r="3" spans="1:35" ht="17.25" customHeight="1">
      <c r="A3" s="1288"/>
      <c r="B3" s="1288"/>
      <c r="C3" s="547">
        <v>1</v>
      </c>
      <c r="D3" s="547">
        <v>2</v>
      </c>
      <c r="E3" s="547">
        <v>3</v>
      </c>
      <c r="F3" s="547">
        <v>4</v>
      </c>
      <c r="G3" s="547">
        <v>5</v>
      </c>
      <c r="H3" s="547">
        <v>6</v>
      </c>
      <c r="I3" s="547">
        <v>7</v>
      </c>
      <c r="J3" s="547">
        <v>8</v>
      </c>
      <c r="M3" s="1288"/>
      <c r="N3" s="1288"/>
      <c r="O3" s="547">
        <v>1</v>
      </c>
      <c r="P3" s="547">
        <v>2</v>
      </c>
      <c r="Q3" s="547">
        <v>3</v>
      </c>
      <c r="R3" s="547">
        <v>4</v>
      </c>
      <c r="S3" s="547">
        <v>5</v>
      </c>
      <c r="T3" s="547">
        <v>6</v>
      </c>
      <c r="U3" s="547">
        <v>7</v>
      </c>
      <c r="V3" s="547">
        <v>8</v>
      </c>
      <c r="W3" s="2"/>
      <c r="X3" s="2"/>
      <c r="Y3" s="1288"/>
      <c r="Z3" s="1288"/>
      <c r="AA3" s="547">
        <v>1</v>
      </c>
      <c r="AB3" s="547">
        <v>2</v>
      </c>
      <c r="AC3" s="547">
        <v>3</v>
      </c>
      <c r="AD3" s="547">
        <v>4</v>
      </c>
      <c r="AE3" s="547">
        <v>5</v>
      </c>
      <c r="AF3" s="547">
        <v>6</v>
      </c>
      <c r="AG3" s="547">
        <v>7</v>
      </c>
      <c r="AH3" s="547">
        <v>8</v>
      </c>
    </row>
    <row r="4" spans="1:35">
      <c r="A4" s="526" t="s">
        <v>154</v>
      </c>
      <c r="B4" s="526" t="s">
        <v>155</v>
      </c>
      <c r="C4" s="1" t="s">
        <v>1156</v>
      </c>
      <c r="D4" s="1" t="s">
        <v>158</v>
      </c>
      <c r="E4" s="1" t="s">
        <v>375</v>
      </c>
      <c r="F4" s="1" t="s">
        <v>163</v>
      </c>
      <c r="G4" s="1" t="s">
        <v>1157</v>
      </c>
      <c r="H4" s="1" t="s">
        <v>164</v>
      </c>
      <c r="I4" s="1" t="s">
        <v>334</v>
      </c>
      <c r="J4" s="1" t="s">
        <v>166</v>
      </c>
      <c r="M4" s="1" t="s">
        <v>154</v>
      </c>
      <c r="N4" s="1" t="s">
        <v>155</v>
      </c>
      <c r="O4" s="1" t="s">
        <v>1156</v>
      </c>
      <c r="P4" s="1" t="s">
        <v>158</v>
      </c>
      <c r="Q4" s="1" t="s">
        <v>32</v>
      </c>
      <c r="R4" s="1" t="s">
        <v>163</v>
      </c>
      <c r="S4" s="1" t="s">
        <v>157</v>
      </c>
      <c r="T4" s="1" t="s">
        <v>164</v>
      </c>
      <c r="U4" s="1" t="s">
        <v>1158</v>
      </c>
      <c r="V4" s="1" t="s">
        <v>166</v>
      </c>
      <c r="W4" s="2"/>
      <c r="X4" s="2"/>
      <c r="Y4" s="1" t="s">
        <v>154</v>
      </c>
      <c r="Z4" s="1" t="s">
        <v>155</v>
      </c>
      <c r="AA4" s="1" t="s">
        <v>1156</v>
      </c>
      <c r="AB4" s="1" t="s">
        <v>158</v>
      </c>
      <c r="AC4" s="1" t="s">
        <v>27</v>
      </c>
      <c r="AD4" s="1" t="s">
        <v>163</v>
      </c>
      <c r="AE4" s="1" t="s">
        <v>32</v>
      </c>
      <c r="AF4" s="1" t="s">
        <v>164</v>
      </c>
      <c r="AG4" s="1" t="s">
        <v>157</v>
      </c>
      <c r="AH4" s="1" t="s">
        <v>166</v>
      </c>
    </row>
    <row r="5" spans="1:35" ht="18">
      <c r="A5" s="527" t="s">
        <v>344</v>
      </c>
      <c r="B5" s="364" t="s">
        <v>345</v>
      </c>
      <c r="C5" s="551" t="s">
        <v>222</v>
      </c>
      <c r="D5" s="41"/>
      <c r="E5" s="551">
        <v>500</v>
      </c>
      <c r="F5" s="41" t="s">
        <v>1159</v>
      </c>
      <c r="G5" s="551">
        <v>900</v>
      </c>
      <c r="H5" s="41" t="s">
        <v>1159</v>
      </c>
      <c r="I5" s="364">
        <v>1200</v>
      </c>
      <c r="J5" s="43" t="s">
        <v>1159</v>
      </c>
      <c r="K5" s="2" t="s">
        <v>280</v>
      </c>
      <c r="M5" s="527" t="s">
        <v>296</v>
      </c>
      <c r="N5" s="364" t="s">
        <v>1071</v>
      </c>
      <c r="O5" s="364" t="s">
        <v>222</v>
      </c>
      <c r="P5" s="693"/>
      <c r="Q5" s="551">
        <f>412/'General values'!M24/'General values'!N17</f>
        <v>368.89124825256789</v>
      </c>
      <c r="R5" s="41" t="s">
        <v>991</v>
      </c>
      <c r="S5" s="551">
        <f>85/'General values'!M24/'General values'!N17</f>
        <v>76.106204129777353</v>
      </c>
      <c r="T5" s="41" t="s">
        <v>991</v>
      </c>
      <c r="U5" s="364"/>
      <c r="V5" s="695"/>
      <c r="W5" s="2"/>
      <c r="X5" s="2"/>
      <c r="Y5" s="540" t="s">
        <v>1107</v>
      </c>
      <c r="Z5" s="364" t="s">
        <v>1108</v>
      </c>
      <c r="AA5" s="364">
        <v>100000</v>
      </c>
      <c r="AB5" s="699" t="s">
        <v>1160</v>
      </c>
      <c r="AC5" s="364"/>
      <c r="AD5" s="65"/>
      <c r="AE5" s="364"/>
      <c r="AF5" s="65"/>
      <c r="AG5" s="364" t="s">
        <v>280</v>
      </c>
      <c r="AH5" s="116"/>
    </row>
    <row r="6" spans="1:35" ht="18">
      <c r="A6" s="527" t="s">
        <v>348</v>
      </c>
      <c r="B6" s="364" t="s">
        <v>59</v>
      </c>
      <c r="C6" s="543" t="s">
        <v>222</v>
      </c>
      <c r="D6" s="41"/>
      <c r="E6" s="551">
        <v>50</v>
      </c>
      <c r="F6" s="41" t="s">
        <v>1159</v>
      </c>
      <c r="G6" s="551">
        <v>50</v>
      </c>
      <c r="H6" s="41" t="s">
        <v>1159</v>
      </c>
      <c r="I6" s="551">
        <v>80</v>
      </c>
      <c r="J6" s="43" t="s">
        <v>1159</v>
      </c>
      <c r="K6" s="2" t="s">
        <v>280</v>
      </c>
      <c r="M6" s="527" t="s">
        <v>1073</v>
      </c>
      <c r="N6" s="364" t="s">
        <v>1161</v>
      </c>
      <c r="O6" s="364" t="s">
        <v>222</v>
      </c>
      <c r="P6" s="693"/>
      <c r="Q6" s="364">
        <v>11000</v>
      </c>
      <c r="R6" s="41" t="s">
        <v>991</v>
      </c>
      <c r="S6" s="364">
        <v>53000</v>
      </c>
      <c r="T6" s="698" t="s">
        <v>991</v>
      </c>
      <c r="U6" s="364"/>
      <c r="V6" s="694"/>
      <c r="W6" s="2"/>
      <c r="X6" s="2"/>
      <c r="Y6" s="527" t="s">
        <v>1162</v>
      </c>
      <c r="Z6" s="364" t="s">
        <v>1108</v>
      </c>
      <c r="AA6" s="364">
        <v>20000</v>
      </c>
      <c r="AB6" s="699" t="s">
        <v>1160</v>
      </c>
      <c r="AC6" s="364"/>
      <c r="AD6" s="65"/>
      <c r="AE6" s="364"/>
      <c r="AF6" s="65"/>
      <c r="AG6" s="364"/>
      <c r="AH6" s="117"/>
    </row>
    <row r="7" spans="1:35" ht="18">
      <c r="A7" s="527" t="s">
        <v>1163</v>
      </c>
      <c r="B7" s="364" t="s">
        <v>337</v>
      </c>
      <c r="C7" s="543" t="s">
        <v>222</v>
      </c>
      <c r="D7" s="41"/>
      <c r="E7" s="548">
        <v>1.5</v>
      </c>
      <c r="F7" s="41" t="s">
        <v>1159</v>
      </c>
      <c r="G7" s="548">
        <v>2.2000000000000002</v>
      </c>
      <c r="H7" s="41" t="s">
        <v>1159</v>
      </c>
      <c r="I7" s="548">
        <v>2.8</v>
      </c>
      <c r="J7" s="43" t="s">
        <v>1159</v>
      </c>
      <c r="K7" s="2" t="s">
        <v>280</v>
      </c>
      <c r="M7" s="527" t="s">
        <v>202</v>
      </c>
      <c r="N7" s="364" t="s">
        <v>739</v>
      </c>
      <c r="O7" s="364" t="s">
        <v>222</v>
      </c>
      <c r="P7" s="693"/>
      <c r="Q7" s="543">
        <v>0.04</v>
      </c>
      <c r="R7" s="41" t="s">
        <v>991</v>
      </c>
      <c r="S7" s="543">
        <v>0.04</v>
      </c>
      <c r="T7" s="41" t="s">
        <v>991</v>
      </c>
      <c r="U7" s="364"/>
      <c r="V7" s="694"/>
      <c r="W7" s="2"/>
      <c r="X7" s="2"/>
      <c r="Y7" s="527" t="s">
        <v>1112</v>
      </c>
      <c r="Z7" s="364" t="s">
        <v>1108</v>
      </c>
      <c r="AA7" s="364"/>
      <c r="AB7" s="693"/>
      <c r="AC7" s="364">
        <f>587000-AA6</f>
        <v>567000</v>
      </c>
      <c r="AD7" s="65" t="s">
        <v>1164</v>
      </c>
      <c r="AE7" s="364">
        <f>560000-AA6</f>
        <v>540000</v>
      </c>
      <c r="AF7" s="65" t="s">
        <v>1165</v>
      </c>
      <c r="AG7" s="551">
        <v>20000</v>
      </c>
      <c r="AH7" s="117" t="s">
        <v>1166</v>
      </c>
      <c r="AI7" s="2" t="s">
        <v>280</v>
      </c>
    </row>
    <row r="8" spans="1:35" ht="18">
      <c r="A8" s="527" t="s">
        <v>1167</v>
      </c>
      <c r="B8" s="364" t="s">
        <v>337</v>
      </c>
      <c r="C8" s="543" t="s">
        <v>222</v>
      </c>
      <c r="D8" s="41"/>
      <c r="E8" s="548">
        <v>0.3</v>
      </c>
      <c r="F8" s="41" t="s">
        <v>1159</v>
      </c>
      <c r="G8" s="548">
        <v>0.4</v>
      </c>
      <c r="H8" s="41" t="s">
        <v>1159</v>
      </c>
      <c r="I8" s="548">
        <v>0.5</v>
      </c>
      <c r="J8" s="43" t="s">
        <v>1159</v>
      </c>
      <c r="K8" s="2" t="s">
        <v>280</v>
      </c>
      <c r="M8" s="527" t="s">
        <v>741</v>
      </c>
      <c r="N8" s="364" t="s">
        <v>207</v>
      </c>
      <c r="O8" s="364" t="s">
        <v>222</v>
      </c>
      <c r="P8" s="65"/>
      <c r="Q8" s="364">
        <v>30</v>
      </c>
      <c r="R8" s="65" t="s">
        <v>978</v>
      </c>
      <c r="S8" s="364">
        <v>30</v>
      </c>
      <c r="T8" s="65" t="s">
        <v>978</v>
      </c>
      <c r="U8" s="364" t="s">
        <v>280</v>
      </c>
      <c r="V8" s="694"/>
      <c r="W8" s="2"/>
      <c r="X8" s="2"/>
      <c r="Y8" s="527" t="s">
        <v>1114</v>
      </c>
      <c r="Z8" s="364" t="s">
        <v>1168</v>
      </c>
      <c r="AA8" s="364"/>
      <c r="AB8" s="693"/>
      <c r="AC8" s="364">
        <v>690</v>
      </c>
      <c r="AD8" s="65" t="s">
        <v>1164</v>
      </c>
      <c r="AE8" s="364">
        <v>4300</v>
      </c>
      <c r="AF8" s="65" t="s">
        <v>1165</v>
      </c>
      <c r="AG8" s="364">
        <v>16000</v>
      </c>
      <c r="AH8" s="117" t="s">
        <v>1166</v>
      </c>
      <c r="AI8" s="2" t="s">
        <v>280</v>
      </c>
    </row>
    <row r="9" spans="1:35" ht="18">
      <c r="A9" s="527" t="s">
        <v>352</v>
      </c>
      <c r="B9" s="364" t="s">
        <v>1169</v>
      </c>
      <c r="C9" s="543" t="s">
        <v>222</v>
      </c>
      <c r="D9" s="41"/>
      <c r="E9" s="548">
        <v>1.2</v>
      </c>
      <c r="F9" s="41" t="s">
        <v>1159</v>
      </c>
      <c r="G9" s="548">
        <v>4.7</v>
      </c>
      <c r="H9" s="41" t="s">
        <v>1159</v>
      </c>
      <c r="I9" s="548">
        <v>13</v>
      </c>
      <c r="J9" s="43" t="s">
        <v>1159</v>
      </c>
      <c r="K9" s="2" t="s">
        <v>280</v>
      </c>
      <c r="M9" s="527" t="s">
        <v>1081</v>
      </c>
      <c r="N9" s="364" t="s">
        <v>1082</v>
      </c>
      <c r="O9" s="364">
        <v>30</v>
      </c>
      <c r="P9" s="41" t="s">
        <v>991</v>
      </c>
      <c r="Q9" s="364" t="s">
        <v>222</v>
      </c>
      <c r="R9" s="693"/>
      <c r="S9" s="364" t="s">
        <v>222</v>
      </c>
      <c r="T9" s="693"/>
      <c r="U9" s="364" t="s">
        <v>222</v>
      </c>
      <c r="V9" s="694"/>
      <c r="W9" s="2"/>
      <c r="X9" s="2"/>
      <c r="Y9" s="527" t="s">
        <v>301</v>
      </c>
      <c r="Z9" s="364" t="s">
        <v>1126</v>
      </c>
      <c r="AA9" s="364">
        <v>0.04</v>
      </c>
      <c r="AB9" s="699" t="s">
        <v>1160</v>
      </c>
      <c r="AC9" s="364" t="s">
        <v>280</v>
      </c>
      <c r="AD9" s="65"/>
      <c r="AE9" s="364"/>
      <c r="AF9" s="65"/>
      <c r="AG9" s="364"/>
      <c r="AH9" s="117"/>
    </row>
    <row r="10" spans="1:35" ht="18">
      <c r="A10" s="527" t="s">
        <v>202</v>
      </c>
      <c r="B10" s="364" t="s">
        <v>739</v>
      </c>
      <c r="C10" s="543">
        <v>0.02</v>
      </c>
      <c r="D10" s="65" t="s">
        <v>1170</v>
      </c>
      <c r="E10" s="364" t="s">
        <v>222</v>
      </c>
      <c r="F10" s="65"/>
      <c r="G10" s="364" t="s">
        <v>222</v>
      </c>
      <c r="H10" s="65"/>
      <c r="I10" s="364" t="s">
        <v>222</v>
      </c>
      <c r="J10" s="37"/>
      <c r="K10" s="2" t="s">
        <v>280</v>
      </c>
      <c r="M10" s="527" t="s">
        <v>1084</v>
      </c>
      <c r="N10" s="364" t="s">
        <v>256</v>
      </c>
      <c r="O10" s="364">
        <v>48</v>
      </c>
      <c r="P10" s="65" t="s">
        <v>978</v>
      </c>
      <c r="Q10" s="364" t="s">
        <v>222</v>
      </c>
      <c r="R10" s="693"/>
      <c r="S10" s="364" t="s">
        <v>222</v>
      </c>
      <c r="T10" s="693"/>
      <c r="U10" s="364" t="s">
        <v>222</v>
      </c>
      <c r="V10" s="692"/>
      <c r="W10" s="2"/>
      <c r="X10" s="2"/>
      <c r="Y10" s="527" t="s">
        <v>211</v>
      </c>
      <c r="Z10" s="364" t="s">
        <v>160</v>
      </c>
      <c r="AA10" s="543">
        <v>7.0000000000000007E-2</v>
      </c>
      <c r="AB10" s="699" t="s">
        <v>1160</v>
      </c>
      <c r="AC10" s="364" t="s">
        <v>280</v>
      </c>
      <c r="AD10" s="65"/>
      <c r="AE10" s="364"/>
      <c r="AF10" s="65"/>
      <c r="AG10" s="364"/>
      <c r="AH10" s="117"/>
    </row>
    <row r="11" spans="1:35" ht="18">
      <c r="A11" s="527" t="s">
        <v>741</v>
      </c>
      <c r="B11" s="364" t="s">
        <v>207</v>
      </c>
      <c r="C11" s="364">
        <v>40</v>
      </c>
      <c r="D11" s="41" t="s">
        <v>991</v>
      </c>
      <c r="E11" s="364" t="s">
        <v>222</v>
      </c>
      <c r="F11" s="41"/>
      <c r="G11" s="364" t="s">
        <v>222</v>
      </c>
      <c r="H11" s="65"/>
      <c r="I11" s="364" t="s">
        <v>222</v>
      </c>
      <c r="J11" s="37"/>
      <c r="K11" s="2" t="s">
        <v>280</v>
      </c>
      <c r="M11" s="527" t="s">
        <v>1171</v>
      </c>
      <c r="N11" s="364" t="s">
        <v>1086</v>
      </c>
      <c r="O11" s="364" t="s">
        <v>222</v>
      </c>
      <c r="P11" s="693"/>
      <c r="Q11" s="364">
        <v>1487</v>
      </c>
      <c r="R11" s="41" t="s">
        <v>991</v>
      </c>
      <c r="S11" s="364">
        <v>2500</v>
      </c>
      <c r="T11" s="41" t="s">
        <v>991</v>
      </c>
      <c r="U11" s="364"/>
      <c r="V11" s="692"/>
      <c r="W11" s="2"/>
      <c r="X11" s="2"/>
      <c r="Y11" s="527" t="s">
        <v>1172</v>
      </c>
      <c r="Z11" s="364" t="s">
        <v>331</v>
      </c>
      <c r="AA11" s="364">
        <v>1000000</v>
      </c>
      <c r="AB11" s="699" t="s">
        <v>1160</v>
      </c>
      <c r="AC11" s="364" t="s">
        <v>280</v>
      </c>
      <c r="AD11" s="65"/>
      <c r="AE11" s="364"/>
      <c r="AF11" s="65"/>
      <c r="AG11" s="364"/>
      <c r="AH11" s="117"/>
    </row>
    <row r="12" spans="1:35" ht="18">
      <c r="A12" s="527" t="s">
        <v>355</v>
      </c>
      <c r="B12" s="364" t="s">
        <v>160</v>
      </c>
      <c r="C12" s="543">
        <v>0.75</v>
      </c>
      <c r="D12" s="41" t="s">
        <v>991</v>
      </c>
      <c r="E12" s="364" t="s">
        <v>222</v>
      </c>
      <c r="F12" s="41"/>
      <c r="G12" s="364" t="s">
        <v>222</v>
      </c>
      <c r="H12" s="65"/>
      <c r="I12" s="364" t="s">
        <v>222</v>
      </c>
      <c r="J12" s="37"/>
      <c r="K12" s="2" t="s">
        <v>280</v>
      </c>
      <c r="M12" s="527" t="s">
        <v>1087</v>
      </c>
      <c r="N12" s="364" t="s">
        <v>1088</v>
      </c>
      <c r="O12" s="364" t="s">
        <v>222</v>
      </c>
      <c r="P12"/>
      <c r="Q12" s="697">
        <v>2E-3</v>
      </c>
      <c r="R12" s="41" t="s">
        <v>991</v>
      </c>
      <c r="S12" s="364" t="s">
        <v>222</v>
      </c>
      <c r="T12" s="65"/>
      <c r="U12"/>
      <c r="V12" s="37"/>
      <c r="W12" s="2"/>
      <c r="X12" s="2"/>
      <c r="Y12" s="527" t="s">
        <v>1173</v>
      </c>
      <c r="Z12" s="364" t="s">
        <v>331</v>
      </c>
      <c r="AA12" s="364">
        <v>1440000</v>
      </c>
      <c r="AB12" s="699" t="s">
        <v>1160</v>
      </c>
      <c r="AC12" s="364" t="s">
        <v>280</v>
      </c>
      <c r="AD12"/>
      <c r="AE12" s="364"/>
      <c r="AF12" s="65"/>
      <c r="AG12" s="364"/>
      <c r="AH12" s="117"/>
    </row>
    <row r="13" spans="1:35" ht="18">
      <c r="A13" s="527" t="s">
        <v>1174</v>
      </c>
      <c r="B13" s="364" t="s">
        <v>160</v>
      </c>
      <c r="C13" s="364">
        <v>1.25</v>
      </c>
      <c r="D13" s="65" t="s">
        <v>1170</v>
      </c>
      <c r="E13" s="364"/>
      <c r="F13" s="65"/>
      <c r="G13" s="364"/>
      <c r="H13" s="65"/>
      <c r="I13" s="364"/>
      <c r="J13" s="37"/>
      <c r="K13" s="2" t="s">
        <v>280</v>
      </c>
      <c r="M13" s="527" t="s">
        <v>1175</v>
      </c>
      <c r="N13" s="364" t="s">
        <v>160</v>
      </c>
      <c r="O13" s="543">
        <v>0.1</v>
      </c>
      <c r="P13" s="65" t="s">
        <v>978</v>
      </c>
      <c r="Q13" s="364" t="s">
        <v>280</v>
      </c>
      <c r="R13"/>
      <c r="S13" s="543"/>
      <c r="T13" s="65"/>
      <c r="U13"/>
      <c r="V13" s="37"/>
      <c r="W13" s="2"/>
      <c r="X13" s="2"/>
      <c r="Y13" s="527" t="s">
        <v>1176</v>
      </c>
      <c r="Z13" s="364" t="s">
        <v>207</v>
      </c>
      <c r="AA13" s="364"/>
      <c r="AB13" s="699"/>
      <c r="AC13" s="364">
        <f>ROUND(5000/Truck!C49,0)</f>
        <v>6</v>
      </c>
      <c r="AD13" s="65" t="s">
        <v>1177</v>
      </c>
      <c r="AE13" s="364">
        <v>20</v>
      </c>
      <c r="AF13" s="702" t="s">
        <v>1160</v>
      </c>
      <c r="AG13" s="701">
        <v>20</v>
      </c>
      <c r="AH13" s="703" t="s">
        <v>1160</v>
      </c>
      <c r="AI13" s="2" t="s">
        <v>280</v>
      </c>
    </row>
    <row r="14" spans="1:35" ht="18">
      <c r="A14" s="527" t="s">
        <v>211</v>
      </c>
      <c r="B14" s="364" t="s">
        <v>160</v>
      </c>
      <c r="C14" s="691">
        <f>(5%+7%)/2</f>
        <v>6.0000000000000005E-2</v>
      </c>
      <c r="D14" s="41" t="s">
        <v>1159</v>
      </c>
      <c r="E14" s="364"/>
      <c r="F14" s="65"/>
      <c r="G14" s="364"/>
      <c r="H14" s="65"/>
      <c r="I14" s="364"/>
      <c r="J14" s="37"/>
      <c r="K14" s="2" t="s">
        <v>280</v>
      </c>
      <c r="M14" s="545" t="s">
        <v>211</v>
      </c>
      <c r="N14" s="546" t="s">
        <v>160</v>
      </c>
      <c r="O14" s="696">
        <v>0.08</v>
      </c>
      <c r="P14" s="135" t="s">
        <v>991</v>
      </c>
      <c r="Q14" s="546"/>
      <c r="R14" s="269"/>
      <c r="S14" s="546"/>
      <c r="T14" s="269"/>
      <c r="U14" s="133"/>
      <c r="V14" s="139"/>
      <c r="W14" s="2"/>
      <c r="X14" s="2"/>
      <c r="Y14" s="527" t="s">
        <v>1178</v>
      </c>
      <c r="Z14" s="364" t="s">
        <v>1135</v>
      </c>
      <c r="AA14" s="364">
        <v>17.5</v>
      </c>
      <c r="AB14" s="699" t="s">
        <v>1160</v>
      </c>
      <c r="AC14" s="364" t="s">
        <v>280</v>
      </c>
      <c r="AD14" s="65"/>
      <c r="AE14" s="364"/>
      <c r="AF14" s="65"/>
      <c r="AG14" s="364"/>
      <c r="AH14" s="37"/>
    </row>
    <row r="15" spans="1:35" ht="18">
      <c r="A15" s="545" t="s">
        <v>350</v>
      </c>
      <c r="B15" s="546" t="s">
        <v>331</v>
      </c>
      <c r="C15" s="546" t="s">
        <v>222</v>
      </c>
      <c r="D15" s="269"/>
      <c r="E15" s="546">
        <v>300</v>
      </c>
      <c r="F15" s="269" t="s">
        <v>1179</v>
      </c>
      <c r="G15" s="546">
        <v>500</v>
      </c>
      <c r="H15" s="269" t="s">
        <v>1179</v>
      </c>
      <c r="I15" s="546">
        <v>700</v>
      </c>
      <c r="J15" s="270" t="s">
        <v>1179</v>
      </c>
      <c r="K15" s="2" t="s">
        <v>280</v>
      </c>
      <c r="Y15" s="527" t="s">
        <v>1180</v>
      </c>
      <c r="Z15" s="364" t="s">
        <v>1135</v>
      </c>
      <c r="AA15" s="364">
        <v>20</v>
      </c>
      <c r="AB15" s="699" t="s">
        <v>1160</v>
      </c>
      <c r="AC15" s="364" t="s">
        <v>280</v>
      </c>
      <c r="AD15" s="65"/>
      <c r="AE15" s="364"/>
      <c r="AF15" s="65"/>
      <c r="AG15" s="364"/>
      <c r="AH15" s="37"/>
    </row>
    <row r="16" spans="1:35" ht="18">
      <c r="Y16" s="527" t="s">
        <v>1181</v>
      </c>
      <c r="Z16" s="364" t="s">
        <v>1182</v>
      </c>
      <c r="AA16" s="364">
        <v>0.3</v>
      </c>
      <c r="AB16" s="699" t="s">
        <v>1160</v>
      </c>
      <c r="AC16" s="364" t="s">
        <v>280</v>
      </c>
      <c r="AD16" s="65"/>
      <c r="AE16" s="364"/>
      <c r="AF16" s="65"/>
      <c r="AG16" s="364"/>
      <c r="AH16" s="37"/>
    </row>
    <row r="17" spans="25:34" ht="18">
      <c r="Y17" s="527" t="s">
        <v>1183</v>
      </c>
      <c r="Z17" s="364" t="s">
        <v>1182</v>
      </c>
      <c r="AA17" s="548">
        <v>0.26900000000000002</v>
      </c>
      <c r="AB17" s="699" t="s">
        <v>1160</v>
      </c>
      <c r="AC17" s="364" t="s">
        <v>280</v>
      </c>
      <c r="AD17" s="65"/>
      <c r="AE17" s="364"/>
      <c r="AF17" s="65"/>
      <c r="AG17" s="364"/>
      <c r="AH17" s="37"/>
    </row>
    <row r="18" spans="25:34" ht="18">
      <c r="Y18" s="527" t="s">
        <v>1184</v>
      </c>
      <c r="Z18" s="364" t="s">
        <v>1124</v>
      </c>
      <c r="AA18" s="700">
        <v>1700</v>
      </c>
      <c r="AB18" s="699" t="s">
        <v>1160</v>
      </c>
      <c r="AC18" s="364" t="s">
        <v>280</v>
      </c>
      <c r="AD18" s="65"/>
      <c r="AE18" s="364"/>
      <c r="AF18" s="65"/>
      <c r="AG18" s="364"/>
      <c r="AH18" s="37"/>
    </row>
    <row r="19" spans="25:34" ht="18">
      <c r="Y19" s="527" t="s">
        <v>1185</v>
      </c>
      <c r="Z19" s="364" t="s">
        <v>1124</v>
      </c>
      <c r="AA19" s="364">
        <v>2300</v>
      </c>
      <c r="AB19" s="699" t="s">
        <v>1160</v>
      </c>
      <c r="AC19" s="364" t="s">
        <v>280</v>
      </c>
      <c r="AD19" s="65"/>
      <c r="AE19" s="364"/>
      <c r="AF19" s="65"/>
      <c r="AG19" s="364"/>
      <c r="AH19" s="37"/>
    </row>
    <row r="20" spans="25:34" ht="18">
      <c r="Y20" s="527" t="s">
        <v>1186</v>
      </c>
      <c r="Z20" s="364" t="s">
        <v>1121</v>
      </c>
      <c r="AA20" s="364">
        <v>50000</v>
      </c>
      <c r="AB20" s="699" t="s">
        <v>1160</v>
      </c>
      <c r="AC20" s="364" t="s">
        <v>280</v>
      </c>
      <c r="AD20"/>
      <c r="AE20" s="364"/>
      <c r="AF20"/>
      <c r="AG20" s="364"/>
      <c r="AH20" s="37"/>
    </row>
    <row r="21" spans="25:34" ht="18">
      <c r="Y21" s="527" t="s">
        <v>1187</v>
      </c>
      <c r="Z21" s="364" t="s">
        <v>1121</v>
      </c>
      <c r="AA21" s="364">
        <v>110000</v>
      </c>
      <c r="AB21" s="699" t="s">
        <v>1160</v>
      </c>
      <c r="AC21" s="364" t="s">
        <v>280</v>
      </c>
      <c r="AD21"/>
      <c r="AE21" s="364"/>
      <c r="AF21"/>
      <c r="AG21" s="364"/>
      <c r="AH21" s="37"/>
    </row>
    <row r="22" spans="25:34">
      <c r="Y22" s="545" t="s">
        <v>1188</v>
      </c>
      <c r="Z22" s="546" t="s">
        <v>59</v>
      </c>
      <c r="AA22" s="546"/>
      <c r="AB22" s="546"/>
      <c r="AC22" s="546">
        <v>250</v>
      </c>
      <c r="AD22" s="135" t="s">
        <v>1164</v>
      </c>
      <c r="AE22" s="546" t="s">
        <v>280</v>
      </c>
      <c r="AF22" s="133"/>
      <c r="AG22" s="546"/>
      <c r="AH22" s="139"/>
    </row>
  </sheetData>
  <sheetProtection algorithmName="SHA-512" hashValue="h0m5T4oDwCwFwOIsR/QXBcIzGlW8Dihnk/JzRhpgOVBIrIGY4DP/HHbPjfYW7bKpxXWAcR+3BpPcvdlzyjA/Lw==" saltValue="rKsbYnoH1D7Mlo3o5XJETg==" spinCount="100000" sheet="1" objects="1" scenarios="1"/>
  <mergeCells count="22">
    <mergeCell ref="M15:X1048576"/>
    <mergeCell ref="Y1:Z3"/>
    <mergeCell ref="AA1:AB1"/>
    <mergeCell ref="AC1:AH1"/>
    <mergeCell ref="C2:D2"/>
    <mergeCell ref="E2:F2"/>
    <mergeCell ref="G2:H2"/>
    <mergeCell ref="I2:J2"/>
    <mergeCell ref="O2:P2"/>
    <mergeCell ref="Q2:R2"/>
    <mergeCell ref="O1:P1"/>
    <mergeCell ref="S2:T2"/>
    <mergeCell ref="U2:V2"/>
    <mergeCell ref="AA2:AB2"/>
    <mergeCell ref="AC2:AD2"/>
    <mergeCell ref="AE2:AF2"/>
    <mergeCell ref="AG2:AH2"/>
    <mergeCell ref="A1:B3"/>
    <mergeCell ref="C1:D1"/>
    <mergeCell ref="E1:J1"/>
    <mergeCell ref="M1:N3"/>
    <mergeCell ref="Q1:V1"/>
  </mergeCells>
  <phoneticPr fontId="11" type="noConversion"/>
  <hyperlinks>
    <hyperlink ref="F5" r:id="rId1" xr:uid="{BABEE4A2-1B7E-49DA-849B-415009E8513A}"/>
    <hyperlink ref="H5" r:id="rId2" xr:uid="{EFF30E78-95CA-4F97-A949-346CDDA1839F}"/>
    <hyperlink ref="J5" r:id="rId3" xr:uid="{FC62DAEB-0096-495E-BA16-6330A83FFEE2}"/>
    <hyperlink ref="F6" r:id="rId4" xr:uid="{499F95EC-1B48-4069-A555-C1C2692B2F96}"/>
    <hyperlink ref="H6" r:id="rId5" xr:uid="{B71BBCF0-55C5-435E-B262-43E155F32855}"/>
    <hyperlink ref="J6" r:id="rId6" xr:uid="{6CD28E14-E3D9-4BEE-A150-32DDC69EEA68}"/>
    <hyperlink ref="F7" r:id="rId7" xr:uid="{07972831-0619-4654-A24D-A62731A32C3D}"/>
    <hyperlink ref="H7" r:id="rId8" display="https://www.startmag.it/wp-content/uploads/European-Hydrogen-Backbone_April-2021_V2.pdf" xr:uid="{2D2AE9DA-0220-49B9-BD44-89B47D7F97DD}"/>
    <hyperlink ref="J7" r:id="rId9" display="https://www.startmag.it/wp-content/uploads/European-Hydrogen-Backbone_April-2021_V2.pdf" xr:uid="{4C13EDB2-A155-42B2-8B50-49ECB3199211}"/>
    <hyperlink ref="F8" r:id="rId10" xr:uid="{F08F88E7-3D37-41F1-9D37-696AAA406159}"/>
    <hyperlink ref="H8" r:id="rId11" display="https://www.startmag.it/wp-content/uploads/European-Hydrogen-Backbone_April-2021_V2.pdf" xr:uid="{5F5B5154-AA12-4BC5-98C7-8531DA977631}"/>
    <hyperlink ref="J8" r:id="rId12" display="https://www.startmag.it/wp-content/uploads/European-Hydrogen-Backbone_April-2021_V2.pdf" xr:uid="{B5C05B23-869D-48B9-96D9-4E981C8FB7E3}"/>
    <hyperlink ref="D11" r:id="rId13" display="IEA, The future of hydrogen, 2019" xr:uid="{25760D7D-AD60-47B5-BDEA-4502927107B2}"/>
    <hyperlink ref="F9" r:id="rId14" xr:uid="{AA6830E5-574C-48A9-9121-B23D0FE2E203}"/>
    <hyperlink ref="H9" r:id="rId15" xr:uid="{9BE02895-DC44-469A-8907-8D4378162089}"/>
    <hyperlink ref="J9" r:id="rId16" xr:uid="{D8F43A34-F4B8-46E9-B32B-7645241D1B69}"/>
    <hyperlink ref="D12" r:id="rId17" display="IEA, The future of hydrogen, 2019" xr:uid="{82C89950-4A2C-49B4-A438-2253F881C5CD}"/>
    <hyperlink ref="D13" r:id="rId18" xr:uid="{B41EC464-B1DF-4501-B82D-3C7C8A844FB4}"/>
    <hyperlink ref="D14" r:id="rId19" xr:uid="{A17FA5FF-5B39-47D0-9217-D4A25E0A6752}"/>
    <hyperlink ref="D10" r:id="rId20" xr:uid="{98514CD9-535F-4312-BBFA-2439A03253D7}"/>
    <hyperlink ref="R5" r:id="rId21" display="IEA, The future of hydrogen, 2019" xr:uid="{932C952D-CE2C-4D6D-BFF5-8FC02DAB2D22}"/>
    <hyperlink ref="T5" r:id="rId22" display="IEA, The future of hydrogen, 2019" xr:uid="{AB8036EE-91CE-4FDD-9795-6DDD78F1D984}"/>
    <hyperlink ref="R6" r:id="rId23" display="IEA, The future of hydrogen, 2019" xr:uid="{DA531548-2035-4E25-BD82-8D78C99CA117}"/>
    <hyperlink ref="T6" r:id="rId24" display="IEA, The future of hydrogen, 2019" xr:uid="{1278F7C3-6BAA-4A87-BF33-70A4AF7F625C}"/>
    <hyperlink ref="R7" r:id="rId25" display="IEA, The future of hydrogen, 2019" xr:uid="{1FA418CF-B5AA-4704-B6A8-C5FE36A9F6F6}"/>
    <hyperlink ref="T7" r:id="rId26" display="IEA, The future of hydrogen, 2019" xr:uid="{AD7EB9E1-20C6-4FC4-B35F-3BFBA3EDF938}"/>
    <hyperlink ref="P9" r:id="rId27" display="IEA, The future of hydrogen, 2019" xr:uid="{6521E851-18E2-49BA-8542-439384FC8D1B}"/>
    <hyperlink ref="P10" r:id="rId28" location="b27" xr:uid="{C372891E-A9F1-4B96-B9C4-F6BED86216CF}"/>
    <hyperlink ref="R11" r:id="rId29" display="IEA, The future of hydrogen, 2019" xr:uid="{516D4620-8106-4D13-9760-699FB9F89154}"/>
    <hyperlink ref="T11" r:id="rId30" display="IEA, The future of hydrogen, 2019" xr:uid="{F22C445F-222F-4452-8744-FCA6DE1FB12D}"/>
    <hyperlink ref="R12" r:id="rId31" display="IEA, The future of hydrogen, 2019" xr:uid="{9DE6FC83-0ADC-4CAE-B066-D731F35DCE25}"/>
    <hyperlink ref="P13" r:id="rId32" location="b27" xr:uid="{979E0BB0-53C5-42ED-9B7C-04D07085A9A7}"/>
    <hyperlink ref="AD7" r:id="rId33" xr:uid="{8A46DD0B-B043-8C40-8B00-903FCA839C3F}"/>
    <hyperlink ref="AF7" r:id="rId34" xr:uid="{D38FD5FA-A9CA-2741-99C9-B62100242999}"/>
    <hyperlink ref="AD8" r:id="rId35" xr:uid="{F391317E-A2C1-0B42-868F-85E942510896}"/>
    <hyperlink ref="AF8" r:id="rId36" xr:uid="{066A743F-A9C2-2141-B94B-CCBE0F5452D5}"/>
    <hyperlink ref="R8" r:id="rId37" location="b27" xr:uid="{16208F3A-0A34-7448-8C4B-A9EA25C3CE0F}"/>
    <hyperlink ref="T8" r:id="rId38" location="b27" xr:uid="{FE0E017C-557B-B844-A4B0-4251B490E6B2}"/>
    <hyperlink ref="P14" r:id="rId39" display="IEA, The future of hydrogen, 2019" xr:uid="{6357B830-4E05-5E44-825A-643C4E5C8CA4}"/>
    <hyperlink ref="F15" r:id="rId40" xr:uid="{1334D31D-6268-6148-A053-B89ED04F5681}"/>
    <hyperlink ref="H15" r:id="rId41" xr:uid="{E9FE8A79-FCA7-5F4A-8982-A652AF77392E}"/>
    <hyperlink ref="J15" r:id="rId42" xr:uid="{80AD3514-CDB1-0C41-85A5-20756AC751F8}"/>
    <hyperlink ref="AD22" r:id="rId43" xr:uid="{8335537D-7111-1745-9F96-ED6A1F45D517}"/>
    <hyperlink ref="AH7" r:id="rId44" xr:uid="{1C46D168-EBAA-4AE0-B548-7FA07577009C}"/>
    <hyperlink ref="AH8" r:id="rId45" xr:uid="{DB2B9F47-D78F-4055-89DE-F4A141FDE47A}"/>
    <hyperlink ref="AD13" r:id="rId46" xr:uid="{E96C2B95-81D1-43D1-AA07-D47130DFD8A4}"/>
  </hyperlinks>
  <pageMargins left="0.7" right="0.7" top="0.75" bottom="0.75" header="0.3" footer="0.3"/>
  <pageSetup paperSize="9" orientation="portrait" r:id="rId47"/>
  <legacyDrawing r:id="rId48"/>
  <tableParts count="3">
    <tablePart r:id="rId49"/>
    <tablePart r:id="rId50"/>
    <tablePart r:id="rId5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A8DF-3CE5-0C41-95BB-AB906B2C02AC}">
  <sheetPr>
    <tabColor theme="7" tint="0.59999389629810485"/>
  </sheetPr>
  <dimension ref="A1:M116"/>
  <sheetViews>
    <sheetView zoomScale="64" zoomScaleNormal="70" workbookViewId="0">
      <selection activeCell="C48" sqref="C48"/>
    </sheetView>
  </sheetViews>
  <sheetFormatPr baseColWidth="10" defaultColWidth="10.83203125" defaultRowHeight="16"/>
  <cols>
    <col min="1" max="1" width="11.5" style="2" bestFit="1" customWidth="1"/>
    <col min="2" max="2" width="12.6640625" style="2" bestFit="1" customWidth="1"/>
    <col min="3" max="3" width="8.83203125" style="2" bestFit="1" customWidth="1"/>
    <col min="4" max="4" width="13" style="2" bestFit="1" customWidth="1"/>
    <col min="5" max="5" width="14" style="2" bestFit="1" customWidth="1"/>
    <col min="6" max="6" width="69.5" style="2" bestFit="1" customWidth="1"/>
    <col min="7" max="7" width="32" style="2" bestFit="1" customWidth="1"/>
    <col min="8" max="9" width="10.83203125" style="2"/>
    <col min="10" max="10" width="35.33203125" style="2" bestFit="1" customWidth="1"/>
    <col min="11" max="11" width="11.5" style="2" bestFit="1" customWidth="1"/>
    <col min="12" max="12" width="40" style="2" customWidth="1"/>
    <col min="13" max="13" width="10.83203125" style="2" customWidth="1"/>
    <col min="14" max="16384" width="10.83203125" style="2"/>
  </cols>
  <sheetData>
    <row r="1" spans="1:13">
      <c r="A1" s="213" t="s">
        <v>234</v>
      </c>
      <c r="B1" s="236"/>
      <c r="C1" s="236"/>
      <c r="D1" s="236"/>
      <c r="E1" s="236"/>
      <c r="F1" s="236"/>
      <c r="G1" s="236"/>
    </row>
    <row r="2" spans="1:13" ht="17" thickBot="1">
      <c r="A2" s="236"/>
      <c r="B2" s="236"/>
      <c r="C2" s="236"/>
      <c r="D2" s="236"/>
      <c r="E2" s="236"/>
      <c r="F2" s="236"/>
      <c r="G2" s="236"/>
    </row>
    <row r="3" spans="1:13">
      <c r="A3" s="1190" t="s">
        <v>472</v>
      </c>
      <c r="B3" s="1191"/>
      <c r="C3" s="1191"/>
      <c r="D3" s="1191"/>
      <c r="E3" s="1191"/>
      <c r="F3" s="1191"/>
      <c r="G3" s="1298"/>
      <c r="J3" s="704" t="s">
        <v>473</v>
      </c>
      <c r="K3" s="705">
        <f>A5</f>
        <v>0.18336275679395417</v>
      </c>
      <c r="L3" s="280"/>
    </row>
    <row r="4" spans="1:13">
      <c r="A4" s="1193"/>
      <c r="B4" s="1194"/>
      <c r="C4" s="1194"/>
      <c r="D4" s="1194"/>
      <c r="E4" s="1194"/>
      <c r="F4" s="1194"/>
      <c r="G4" s="1299"/>
      <c r="J4" s="668" t="str">
        <f>'List DB'!$Q11</f>
        <v>Pipeline inlet</v>
      </c>
      <c r="K4" s="706">
        <f t="dataTable" ref="K4:K18" dt2D="0" dtr="0" r1="E11" ca="1"/>
        <v>4.1206877559672103E-2</v>
      </c>
      <c r="L4" s="280"/>
    </row>
    <row r="5" spans="1:13">
      <c r="A5" s="1300">
        <f>D64</f>
        <v>0.18336275679395417</v>
      </c>
      <c r="B5" s="1301"/>
      <c r="C5" s="1301"/>
      <c r="D5" s="1301"/>
      <c r="E5" s="1153" t="s">
        <v>236</v>
      </c>
      <c r="F5" s="1153"/>
      <c r="G5" s="1154"/>
      <c r="J5" s="668" t="str">
        <f>'List DB'!$Q12</f>
        <v>Pipeline inlet - Distribution</v>
      </c>
      <c r="K5" s="706">
        <v>1.3769302310095209E-3</v>
      </c>
      <c r="L5" s="280"/>
    </row>
    <row r="6" spans="1:13" ht="17" thickBot="1">
      <c r="A6" s="1302"/>
      <c r="B6" s="1303"/>
      <c r="C6" s="1303"/>
      <c r="D6" s="1303"/>
      <c r="E6" s="1155"/>
      <c r="F6" s="1155"/>
      <c r="G6" s="1156"/>
      <c r="J6" s="668" t="str">
        <f>'List DB'!$Q13</f>
        <v>Pipeline booster - transmission offshore</v>
      </c>
      <c r="K6" s="706">
        <v>5.4999528788921254E-2</v>
      </c>
      <c r="L6" s="280"/>
      <c r="M6" s="272"/>
    </row>
    <row r="7" spans="1:13">
      <c r="A7" s="553"/>
      <c r="B7" s="553"/>
      <c r="C7" s="553"/>
      <c r="D7" s="553"/>
      <c r="E7" s="553"/>
      <c r="F7" s="553"/>
      <c r="G7" s="553"/>
      <c r="J7" s="668" t="str">
        <f>'List DB'!$Q14</f>
        <v>Pipeline booster - transmission onshore</v>
      </c>
      <c r="K7" s="706">
        <v>5.4999528788921254E-2</v>
      </c>
      <c r="L7" s="280"/>
    </row>
    <row r="8" spans="1:13">
      <c r="A8" s="1157" t="s">
        <v>237</v>
      </c>
      <c r="B8" s="1158"/>
      <c r="C8" s="1158"/>
      <c r="D8" s="1158"/>
      <c r="E8" s="1159">
        <f>HOME!A9</f>
        <v>2022</v>
      </c>
      <c r="F8" s="1159"/>
      <c r="G8" s="1160"/>
      <c r="J8" s="668" t="str">
        <f>'List DB'!$Q15</f>
        <v>Pipeline booster - distribution</v>
      </c>
      <c r="K8" s="706">
        <v>4.0235879351722993E-2</v>
      </c>
      <c r="L8" s="280"/>
    </row>
    <row r="9" spans="1:13">
      <c r="A9" s="280"/>
      <c r="B9" s="280"/>
      <c r="C9" s="280"/>
      <c r="D9" s="280"/>
      <c r="E9" s="280"/>
      <c r="F9" s="280"/>
      <c r="G9" s="280"/>
      <c r="J9" s="668" t="str">
        <f>'List DB'!$Q16</f>
        <v>Final compression</v>
      </c>
      <c r="K9" s="706">
        <v>0</v>
      </c>
      <c r="L9" s="280"/>
    </row>
    <row r="10" spans="1:13">
      <c r="A10" s="1167" t="s">
        <v>474</v>
      </c>
      <c r="B10" s="1168"/>
      <c r="C10" s="1168"/>
      <c r="D10" s="1168"/>
      <c r="E10" s="1169" t="str">
        <f>IF($E$11="Tank - Type I", "Compression of gas to storage", IF($E$11="Tank - Type II","Compression of gas to storage", IF($E$11="Tank - Type III","Compression of gas to storage", IF($E$11="Tank - Type IV","Compression of gas to storage", IF($E$11="Geological - Depleted NG or Oil Reservoir","Compression of gas to storage",  IF($E$11="Geological - Salt Cavern","Compression of gas to storage",  IF($E$11="Geological - Lined Rock Cavern","Compression of gas to storage",  IF($E$11="Geological - Aquifer","Compression of gas to storage", IF($E$11="Pipeline inlet", "Compression of gas in pipeline", IF($E$11="Pipeline inlet - Distribution", "Compression of gas in pipeline", IF($E$11="Pipeline booster - transmission offshore", "Compression of gas in pipeline",  IF($E$11="Pipeline booster - transmission onshore", "Compression of gas in pipeline",  IF($E$11="Pipeline booster - distribution", "Compression of gas in pipeline",  IF($E$11="Final compression", "Compression of gas in pipeline", IF($E$11="Truck - 250 bar", "Compression of gas into truck")))))))))))))))</f>
        <v>Compression of gas to storage</v>
      </c>
      <c r="F10" s="1169"/>
      <c r="G10" s="1170"/>
      <c r="J10" s="668" t="str">
        <f>'List DB'!$Q17</f>
        <v>Truck - 250 bar</v>
      </c>
      <c r="K10" s="706">
        <v>4.7221824180951867E-2</v>
      </c>
      <c r="L10" s="280"/>
    </row>
    <row r="11" spans="1:13">
      <c r="A11" s="1304" t="s">
        <v>475</v>
      </c>
      <c r="B11" s="1305"/>
      <c r="C11" s="1305"/>
      <c r="D11" s="1305"/>
      <c r="E11" s="1306" t="s">
        <v>40</v>
      </c>
      <c r="F11" s="1306"/>
      <c r="G11" s="1307"/>
      <c r="J11" s="668" t="str">
        <f>'List DB'!$Q18</f>
        <v>Tank - Type I</v>
      </c>
      <c r="K11" s="706">
        <v>0.18336275679395417</v>
      </c>
      <c r="L11" s="280"/>
    </row>
    <row r="12" spans="1:13">
      <c r="A12" s="1157" t="s">
        <v>241</v>
      </c>
      <c r="B12" s="1158"/>
      <c r="C12" s="1158"/>
      <c r="D12" s="1158"/>
      <c r="E12" s="1159" t="str">
        <f>IF(OR(E11='List DB'!Q11, E11='List DB'!Q13), "Multistage centrifugal compressor","Multistage reciprocating compressor")</f>
        <v>Multistage reciprocating compressor</v>
      </c>
      <c r="F12" s="1159"/>
      <c r="G12" s="1160"/>
      <c r="J12" s="668" t="str">
        <f>'List DB'!$Q19</f>
        <v>Tank - Type II</v>
      </c>
      <c r="K12" s="706">
        <v>0.18336275679395417</v>
      </c>
      <c r="L12" s="280"/>
    </row>
    <row r="13" spans="1:13">
      <c r="A13" s="280"/>
      <c r="B13" s="280"/>
      <c r="C13" s="280"/>
      <c r="D13" s="280"/>
      <c r="E13" s="280"/>
      <c r="F13" s="280"/>
      <c r="G13" s="280"/>
      <c r="J13" s="668" t="str">
        <f>'List DB'!$Q20</f>
        <v>Tank - Type III</v>
      </c>
      <c r="K13" s="706">
        <v>0.2047925262342192</v>
      </c>
      <c r="L13" s="280"/>
    </row>
    <row r="14" spans="1:13">
      <c r="A14" s="1157" t="s">
        <v>242</v>
      </c>
      <c r="B14" s="1158"/>
      <c r="C14" s="1158"/>
      <c r="D14" s="1158"/>
      <c r="E14" s="1159" t="str">
        <f>IF(E11='List DB'!Q11,HOME!C9,HOME!B9)</f>
        <v>Spain</v>
      </c>
      <c r="F14" s="1159"/>
      <c r="G14" s="1160"/>
      <c r="J14" s="668" t="str">
        <f>'List DB'!$Q21</f>
        <v>Tank - Type IV</v>
      </c>
      <c r="K14" s="706">
        <v>0.26431395097122717</v>
      </c>
      <c r="L14" s="280"/>
    </row>
    <row r="15" spans="1:13" ht="17" thickBot="1">
      <c r="J15" s="668" t="str">
        <f>'List DB'!$Q22</f>
        <v>Geological - Depleted NG or Oil Reservoir</v>
      </c>
      <c r="K15" s="706">
        <v>0.13821046789448621</v>
      </c>
      <c r="L15" s="280"/>
    </row>
    <row r="16" spans="1:13" ht="17" thickBot="1">
      <c r="A16" s="1293" t="s">
        <v>243</v>
      </c>
      <c r="B16" s="1294"/>
      <c r="C16" s="1294"/>
      <c r="D16" s="1294"/>
      <c r="E16" s="1294"/>
      <c r="F16" s="1294"/>
      <c r="G16" s="1295"/>
      <c r="J16" s="668" t="str">
        <f>'List DB'!$Q23</f>
        <v>Geological - Salt Cavern</v>
      </c>
      <c r="K16" s="706">
        <v>0.12320746368897638</v>
      </c>
      <c r="L16" s="280"/>
    </row>
    <row r="17" spans="1:12">
      <c r="A17" s="217"/>
      <c r="B17" s="217"/>
      <c r="C17" s="217"/>
      <c r="D17" s="217"/>
      <c r="E17" s="217"/>
      <c r="F17" s="217"/>
      <c r="G17" s="217"/>
      <c r="J17" s="668" t="str">
        <f>'List DB'!$Q24</f>
        <v>Geological - Lined Rock Cavern</v>
      </c>
      <c r="K17" s="706">
        <v>0.11278921082357422</v>
      </c>
      <c r="L17" s="280"/>
    </row>
    <row r="18" spans="1:12" ht="17" thickBot="1">
      <c r="A18" s="726" t="s">
        <v>154</v>
      </c>
      <c r="B18" s="726" t="s">
        <v>244</v>
      </c>
      <c r="C18" s="7" t="s">
        <v>245</v>
      </c>
      <c r="D18" s="7" t="s">
        <v>246</v>
      </c>
      <c r="E18" s="7" t="s">
        <v>247</v>
      </c>
      <c r="F18" s="603" t="s">
        <v>248</v>
      </c>
      <c r="G18" s="604"/>
      <c r="J18" s="670" t="str">
        <f>'List DB'!$Q25</f>
        <v>Geological - Aquifer</v>
      </c>
      <c r="K18" s="707">
        <v>0.15166545801388359</v>
      </c>
      <c r="L18" s="280"/>
    </row>
    <row r="19" spans="1:12" ht="17" thickBot="1">
      <c r="A19" s="280"/>
      <c r="B19" s="280"/>
      <c r="F19" s="280"/>
      <c r="G19" s="280"/>
      <c r="J19" s="364"/>
      <c r="K19" s="364"/>
      <c r="L19" s="280"/>
    </row>
    <row r="20" spans="1:12" ht="18">
      <c r="A20" s="526" t="s">
        <v>191</v>
      </c>
      <c r="B20" s="727" cm="1">
        <f t="array" ref="B20">IFERROR(INDEX(Tb_Cpr[],MATCH(A20,Tb_Cpr[Parameter],0),HLOOKUP($E$11,'Conversion data'!$C$2:$AF$3,2,FALSE)+2),"-")</f>
        <v>5.0000000000000001E-3</v>
      </c>
      <c r="C20" s="57"/>
      <c r="D20" s="597">
        <f>IF(ISBLANK(C20),B20,C20)</f>
        <v>5.0000000000000001E-3</v>
      </c>
      <c r="E20" s="335"/>
      <c r="F20" s="658" t="s">
        <v>476</v>
      </c>
      <c r="G20" s="1187" t="s">
        <v>477</v>
      </c>
      <c r="J20" s="672" t="s">
        <v>478</v>
      </c>
      <c r="K20" s="1297" t="s">
        <v>473</v>
      </c>
      <c r="L20" s="1185"/>
    </row>
    <row r="21" spans="1:12">
      <c r="A21" s="526" t="s">
        <v>405</v>
      </c>
      <c r="B21" s="727" t="str" cm="1">
        <f t="array" ref="B21">IFERROR(INDEX(Tb_Cpr[],MATCH(A21,Tb_Cpr[Parameter],0),HLOOKUP($E$11,'Conversion data'!$C$2:$AF$3,2,FALSE)+2),"-")</f>
        <v>-</v>
      </c>
      <c r="C21" s="59"/>
      <c r="D21" s="512" t="str">
        <f>IF(ISBLANK(C21),B21,C21)</f>
        <v>-</v>
      </c>
      <c r="E21" s="335"/>
      <c r="F21" s="658"/>
      <c r="G21" s="1189"/>
      <c r="J21" s="708">
        <f>A5</f>
        <v>0.18336275679395417</v>
      </c>
      <c r="K21" s="709" t="s">
        <v>384</v>
      </c>
      <c r="L21" s="710" t="s">
        <v>388</v>
      </c>
    </row>
    <row r="22" spans="1:12" ht="18">
      <c r="A22" s="526" t="s">
        <v>414</v>
      </c>
      <c r="B22" s="727" cm="1">
        <f t="array" ref="B22">IFERROR(INDEX(Tb_Cpr[],MATCH(A22,Tb_Cpr[Parameter],0),HLOOKUP($E$11,'Conversion data'!$C$2:$AF$3,2,FALSE)+2),"-")</f>
        <v>0.95</v>
      </c>
      <c r="C22" s="57"/>
      <c r="D22" s="512">
        <f>IF(ISBLANK(C22),B22,C22)</f>
        <v>0.95</v>
      </c>
      <c r="E22" s="335"/>
      <c r="F22" s="658" t="s">
        <v>1310</v>
      </c>
      <c r="G22" s="1189"/>
      <c r="J22" s="668">
        <v>1</v>
      </c>
      <c r="K22" s="711">
        <f t="dataTable" ref="K22:L101" dt2D="1" dtr="1" r1="E11" r2="D26" ca="1"/>
        <v>0.1689471479587718</v>
      </c>
      <c r="L22" s="712">
        <v>0.29380602133995465</v>
      </c>
    </row>
    <row r="23" spans="1:12" ht="18">
      <c r="A23" s="526" t="s">
        <v>420</v>
      </c>
      <c r="B23" s="727" cm="1">
        <f t="array" ref="B23">IFERROR(INDEX(Tb_Cpr[],MATCH(A23,Tb_Cpr[Parameter],0),HLOOKUP($E$11,'Conversion data'!$C$2:$AF$3,2,FALSE)+2),"-")</f>
        <v>0.85</v>
      </c>
      <c r="C23" s="57"/>
      <c r="D23" s="512">
        <f>IF(ISBLANK(C23),B23,C23)</f>
        <v>0.85</v>
      </c>
      <c r="E23" s="335"/>
      <c r="F23" s="658" t="s">
        <v>479</v>
      </c>
      <c r="G23" s="1188"/>
      <c r="J23" s="668">
        <v>2</v>
      </c>
      <c r="K23" s="711">
        <v>0.14417188360891503</v>
      </c>
      <c r="L23" s="712">
        <v>0.24761985622090213</v>
      </c>
    </row>
    <row r="24" spans="1:12">
      <c r="A24" s="280"/>
      <c r="B24" s="280"/>
      <c r="D24" s="280"/>
      <c r="E24" s="280"/>
      <c r="F24" s="280"/>
      <c r="G24" s="280"/>
      <c r="J24" s="668">
        <v>3</v>
      </c>
      <c r="K24" s="711">
        <v>0.1279895965333141</v>
      </c>
      <c r="L24" s="712">
        <v>0.21772274712622749</v>
      </c>
    </row>
    <row r="25" spans="1:12" ht="18">
      <c r="A25" s="526" t="s">
        <v>424</v>
      </c>
      <c r="B25" s="728" cm="1">
        <f t="array" ref="B25">IFERROR(INDEX(Tb_Cpr[],MATCH(A25,Tb_Cpr[Parameter],0),HLOOKUP($E$11,'Conversion data'!$C$2:$AF$3,2,FALSE)+2),"-")</f>
        <v>722.03196347031974</v>
      </c>
      <c r="C25" s="57"/>
      <c r="D25" s="661">
        <f t="shared" ref="D25:D31" si="0">IF(ISBLANK(C25),B25,C25)</f>
        <v>722.03196347031974</v>
      </c>
      <c r="E25" s="335" t="s">
        <v>425</v>
      </c>
      <c r="F25" s="658" t="s">
        <v>480</v>
      </c>
      <c r="G25" s="1187" t="s">
        <v>481</v>
      </c>
      <c r="J25" s="668">
        <v>4</v>
      </c>
      <c r="K25" s="711">
        <v>0.11665317923424688</v>
      </c>
      <c r="L25" s="712">
        <v>0.1969432658278811</v>
      </c>
    </row>
    <row r="26" spans="1:12" ht="18">
      <c r="A26" s="526" t="s">
        <v>428</v>
      </c>
      <c r="B26" s="729" cm="1">
        <f t="array" ref="B26">IFERROR(INDEX(Tb_Cpr[],MATCH(A26,Tb_Cpr[Parameter],0),HLOOKUP($E$11,'Conversion data'!$C$2:$AF$3,2,FALSE)+2),"-")</f>
        <v>30</v>
      </c>
      <c r="C26" s="57"/>
      <c r="D26" s="509">
        <f t="shared" si="0"/>
        <v>30</v>
      </c>
      <c r="E26" s="335" t="s">
        <v>59</v>
      </c>
      <c r="F26" s="658" t="s">
        <v>482</v>
      </c>
      <c r="G26" s="1189"/>
      <c r="J26" s="668">
        <v>5</v>
      </c>
      <c r="K26" s="711">
        <v>0.11002632465301052</v>
      </c>
      <c r="L26" s="712">
        <v>0.18488194958764115</v>
      </c>
    </row>
    <row r="27" spans="1:12" ht="18">
      <c r="A27" s="526" t="s">
        <v>434</v>
      </c>
      <c r="B27" s="729" cm="1">
        <f t="array" ref="B27">IFERROR(INDEX(Tb_Cpr[],MATCH(A27,Tb_Cpr[Parameter],0),HLOOKUP($E$11,'Conversion data'!$C$2:$AF$3,2,FALSE)+2),"-")</f>
        <v>25</v>
      </c>
      <c r="C27" s="57"/>
      <c r="D27" s="509">
        <f t="shared" si="0"/>
        <v>25</v>
      </c>
      <c r="E27" s="335" t="s">
        <v>194</v>
      </c>
      <c r="F27" s="658" t="s">
        <v>483</v>
      </c>
      <c r="G27" s="1189"/>
      <c r="J27" s="668">
        <v>6</v>
      </c>
      <c r="K27" s="711">
        <v>0.1026796334959728</v>
      </c>
      <c r="L27" s="712">
        <v>0.17151733218267678</v>
      </c>
    </row>
    <row r="28" spans="1:12" ht="18">
      <c r="A28" s="526" t="s">
        <v>440</v>
      </c>
      <c r="B28" s="729" cm="1">
        <f t="array" ref="B28">IFERROR(INDEX(Tb_Cpr[],MATCH(A28,Tb_Cpr[Parameter],0),HLOOKUP($E$11,'Conversion data'!$C$2:$AF$3,2,FALSE)+2),"-")</f>
        <v>250</v>
      </c>
      <c r="C28" s="57"/>
      <c r="D28" s="509">
        <f t="shared" si="0"/>
        <v>250</v>
      </c>
      <c r="E28" s="581" t="s">
        <v>59</v>
      </c>
      <c r="F28" s="658" t="s">
        <v>484</v>
      </c>
      <c r="G28" s="1189"/>
      <c r="J28" s="668">
        <v>7</v>
      </c>
      <c r="K28" s="711">
        <v>9.6514340720340916E-2</v>
      </c>
      <c r="L28" s="712">
        <v>0.16039679449390398</v>
      </c>
    </row>
    <row r="29" spans="1:12" ht="18">
      <c r="A29" s="526" t="s">
        <v>485</v>
      </c>
      <c r="B29" s="730">
        <f>D27*(1+(((D28/D26)^((D34-1)/(D38*D34)))-1)/D23)</f>
        <v>31.710337650722288</v>
      </c>
      <c r="C29" s="57"/>
      <c r="D29" s="599">
        <f t="shared" si="0"/>
        <v>31.710337650722288</v>
      </c>
      <c r="E29" s="723" t="s">
        <v>194</v>
      </c>
      <c r="F29" s="658" t="s">
        <v>486</v>
      </c>
      <c r="G29" s="1189"/>
      <c r="J29" s="668">
        <v>8</v>
      </c>
      <c r="K29" s="711">
        <v>9.1206272200776484E-2</v>
      </c>
      <c r="L29" s="712">
        <v>0.15083315871365696</v>
      </c>
    </row>
    <row r="30" spans="1:12" ht="18">
      <c r="A30" s="526" t="s">
        <v>487</v>
      </c>
      <c r="B30" s="731">
        <f>2/3*(((D28^3)-(D26^3))/((D28^2)-(D26^2)))</f>
        <v>168.8095238095238</v>
      </c>
      <c r="C30" s="57"/>
      <c r="D30" s="724">
        <f t="shared" si="0"/>
        <v>168.8095238095238</v>
      </c>
      <c r="E30" s="586" t="s">
        <v>59</v>
      </c>
      <c r="F30" s="658" t="s">
        <v>488</v>
      </c>
      <c r="G30" s="1189"/>
      <c r="J30" s="668">
        <v>9</v>
      </c>
      <c r="K30" s="711">
        <v>8.8751029669373066E-2</v>
      </c>
      <c r="L30" s="712">
        <v>0.14643105124359296</v>
      </c>
    </row>
    <row r="31" spans="1:12" ht="18">
      <c r="A31" s="526" t="s">
        <v>489</v>
      </c>
      <c r="B31" s="731">
        <f>(D29+D27)/2</f>
        <v>28.355168825361144</v>
      </c>
      <c r="C31" s="57"/>
      <c r="D31" s="724">
        <f t="shared" si="0"/>
        <v>28.355168825361144</v>
      </c>
      <c r="E31" s="723" t="s">
        <v>194</v>
      </c>
      <c r="F31" s="658" t="s">
        <v>490</v>
      </c>
      <c r="G31" s="1188"/>
      <c r="J31" s="668">
        <v>10</v>
      </c>
      <c r="K31" s="711">
        <v>8.43901021918321E-2</v>
      </c>
      <c r="L31" s="712">
        <v>0.13866893188289503</v>
      </c>
    </row>
    <row r="32" spans="1:12">
      <c r="A32" s="280"/>
      <c r="B32" s="280"/>
      <c r="D32" s="280"/>
      <c r="E32" s="280"/>
      <c r="F32" s="280"/>
      <c r="G32" s="280"/>
      <c r="J32" s="668">
        <v>11</v>
      </c>
      <c r="K32" s="711">
        <v>8.0468998564023189E-2</v>
      </c>
      <c r="L32" s="712">
        <v>0.1316882010924835</v>
      </c>
    </row>
    <row r="33" spans="1:12">
      <c r="A33" s="526" t="s">
        <v>448</v>
      </c>
      <c r="B33" s="729" cm="1">
        <f t="array" ref="B33">IFERROR(INDEX(Tb_Cpr[],MATCH(A33,Tb_Cpr[Parameter],0),HLOOKUP($E$11,'Conversion data'!$C$2:$AF$3,2,FALSE)+2),"-")</f>
        <v>2.1</v>
      </c>
      <c r="C33" s="57"/>
      <c r="D33" s="509">
        <f>IF(ISBLANK(C33),B33,C33)</f>
        <v>2.1</v>
      </c>
      <c r="E33" s="335"/>
      <c r="F33" s="658" t="s">
        <v>491</v>
      </c>
      <c r="G33" s="1187" t="s">
        <v>492</v>
      </c>
      <c r="J33" s="668">
        <v>12</v>
      </c>
      <c r="K33" s="711">
        <v>7.6908366815452919E-2</v>
      </c>
      <c r="L33" s="712">
        <v>0.12531967997888779</v>
      </c>
    </row>
    <row r="34" spans="1:12">
      <c r="A34" s="526" t="s">
        <v>493</v>
      </c>
      <c r="B34" s="729">
        <v>1.41</v>
      </c>
      <c r="C34" s="57"/>
      <c r="D34" s="509">
        <f t="shared" ref="D34:D37" si="1">IF(ISBLANK(C34),B34,C34)</f>
        <v>1.41</v>
      </c>
      <c r="E34" s="335"/>
      <c r="F34" s="658" t="s">
        <v>494</v>
      </c>
      <c r="G34" s="1189"/>
      <c r="J34" s="668">
        <v>13</v>
      </c>
      <c r="K34" s="711">
        <v>7.3648376036729857E-2</v>
      </c>
      <c r="L34" s="712">
        <v>0.11956717248808738</v>
      </c>
    </row>
    <row r="35" spans="1:12">
      <c r="A35" s="526" t="s">
        <v>495</v>
      </c>
      <c r="B35" s="732" cm="1">
        <f t="array" ref="B35">IF(HOME!B13="Yes",[1]!PropsSI("Z", "T", (D31+273.15), "P", (D30*100000), "Hydrogen"),1.027)</f>
        <v>1.0269999999999999</v>
      </c>
      <c r="C35" s="57"/>
      <c r="D35" s="509">
        <f t="shared" si="1"/>
        <v>1.0269999999999999</v>
      </c>
      <c r="E35" s="335"/>
      <c r="F35" s="658" t="s">
        <v>496</v>
      </c>
      <c r="G35" s="1189"/>
      <c r="J35" s="668">
        <v>14</v>
      </c>
      <c r="K35" s="711">
        <v>7.064282030199534E-2</v>
      </c>
      <c r="L35" s="712">
        <v>0.11427018069922085</v>
      </c>
    </row>
    <row r="36" spans="1:12">
      <c r="A36" s="526" t="s">
        <v>497</v>
      </c>
      <c r="B36" s="729">
        <v>2.016</v>
      </c>
      <c r="C36" s="57"/>
      <c r="D36" s="509">
        <f>IF(ISBLANK(C36),B36,C36)</f>
        <v>2.016</v>
      </c>
      <c r="E36" s="335" t="s">
        <v>459</v>
      </c>
      <c r="F36" s="658" t="s">
        <v>498</v>
      </c>
      <c r="G36" s="1189"/>
      <c r="J36" s="668">
        <v>15</v>
      </c>
      <c r="K36" s="711">
        <v>6.7855288093277746E-2</v>
      </c>
      <c r="L36" s="712">
        <v>0.10936342431012704</v>
      </c>
    </row>
    <row r="37" spans="1:12">
      <c r="A37" s="526" t="s">
        <v>499</v>
      </c>
      <c r="B37" s="729">
        <f>8314/D36</f>
        <v>4124.0079365079364</v>
      </c>
      <c r="C37" s="57"/>
      <c r="D37" s="509">
        <f t="shared" si="1"/>
        <v>4124.0079365079364</v>
      </c>
      <c r="E37" s="335" t="s">
        <v>500</v>
      </c>
      <c r="F37" s="658" t="s">
        <v>501</v>
      </c>
      <c r="G37" s="1189"/>
      <c r="J37" s="668">
        <v>16</v>
      </c>
      <c r="K37" s="711">
        <v>6.525658675777303E-2</v>
      </c>
      <c r="L37" s="712">
        <v>0.1048311705427102</v>
      </c>
    </row>
    <row r="38" spans="1:12" ht="18">
      <c r="A38" s="526" t="s">
        <v>502</v>
      </c>
      <c r="B38" s="730">
        <f>ROUNDUP(LOG(D28/D26)/LOG(D33),0)</f>
        <v>3</v>
      </c>
      <c r="C38" s="57"/>
      <c r="D38" s="599">
        <f t="shared" ref="D38" si="2">IF(ISBLANK(C38),B38,C38)</f>
        <v>3</v>
      </c>
      <c r="E38" s="415"/>
      <c r="F38" s="658" t="s">
        <v>503</v>
      </c>
      <c r="G38" s="1188"/>
      <c r="J38" s="668">
        <v>17</v>
      </c>
      <c r="K38" s="711">
        <v>6.2822959508643458E-2</v>
      </c>
      <c r="L38" s="712">
        <v>0.10060455617173206</v>
      </c>
    </row>
    <row r="39" spans="1:12">
      <c r="A39" s="280"/>
      <c r="B39" s="280"/>
      <c r="D39" s="280"/>
      <c r="E39" s="280"/>
      <c r="F39" s="280"/>
      <c r="G39" s="280"/>
      <c r="J39" s="668">
        <v>18</v>
      </c>
      <c r="K39" s="711">
        <v>6.0534819655632684E-2</v>
      </c>
      <c r="L39" s="712">
        <v>9.6616843914444472E-2</v>
      </c>
    </row>
    <row r="40" spans="1:12" ht="18">
      <c r="A40" s="526" t="s">
        <v>1313</v>
      </c>
      <c r="B40" s="730">
        <f>((((D38*D34*D35*D25/3600*D37*(D27+273.15))/(D34-1))*((D28/D26)^((D34-1)/(D34*D38))-1)))*(10^-3)</f>
        <v>596.15401586259748</v>
      </c>
      <c r="C40" s="57"/>
      <c r="D40" s="686">
        <f>IF(ISBLANK(C40),B40,C40)</f>
        <v>596.15401586259748</v>
      </c>
      <c r="E40" s="586" t="s">
        <v>452</v>
      </c>
      <c r="F40" s="658" t="s">
        <v>1314</v>
      </c>
      <c r="G40" s="1296" t="s">
        <v>504</v>
      </c>
      <c r="J40" s="668">
        <v>19</v>
      </c>
      <c r="K40" s="711">
        <v>6.0326627489498921E-2</v>
      </c>
      <c r="L40" s="712">
        <v>9.625766923228711E-2</v>
      </c>
    </row>
    <row r="41" spans="1:12" ht="18">
      <c r="A41" s="526" t="s">
        <v>505</v>
      </c>
      <c r="B41" s="733">
        <f>D40/D23</f>
        <v>701.35766572070293</v>
      </c>
      <c r="C41" s="57"/>
      <c r="D41" s="686">
        <f>IF(ISBLANK(C41),B41,C41)</f>
        <v>701.35766572070293</v>
      </c>
      <c r="E41" s="586" t="s">
        <v>452</v>
      </c>
      <c r="F41" s="658" t="s">
        <v>506</v>
      </c>
      <c r="G41" s="1296"/>
      <c r="J41" s="668">
        <v>20</v>
      </c>
      <c r="K41" s="711">
        <v>5.8143875198523695E-2</v>
      </c>
      <c r="L41" s="712">
        <v>9.2449959046913346E-2</v>
      </c>
    </row>
    <row r="42" spans="1:12" ht="18">
      <c r="A42" s="526" t="s">
        <v>507</v>
      </c>
      <c r="B42" s="733">
        <f>D41/D22</f>
        <v>738.27122707442413</v>
      </c>
      <c r="C42" s="57"/>
      <c r="D42" s="686">
        <f>IF(ISBLANK(C42),B42,C42)</f>
        <v>738.27122707442413</v>
      </c>
      <c r="E42" s="586" t="s">
        <v>452</v>
      </c>
      <c r="F42" s="658" t="s">
        <v>508</v>
      </c>
      <c r="G42" s="1296"/>
      <c r="J42" s="668">
        <v>21</v>
      </c>
      <c r="K42" s="711">
        <v>5.6076723315294535E-2</v>
      </c>
      <c r="L42" s="712">
        <v>8.8836822947907776E-2</v>
      </c>
    </row>
    <row r="43" spans="1:12" ht="18">
      <c r="A43" s="571" t="s">
        <v>451</v>
      </c>
      <c r="B43" s="728" cm="1">
        <f t="array" ref="B43">IFERROR(INDEX(Tb_Cpr[],MATCH(A43,Tb_Cpr[Parameter],0),HLOOKUP($E$11,'Conversion data'!$C$2:$AF$3,2,FALSE)+2),"-")</f>
        <v>16000</v>
      </c>
      <c r="C43" s="97"/>
      <c r="D43" s="661">
        <f>IF(ISBLANK(C43),B43,C43)</f>
        <v>16000</v>
      </c>
      <c r="E43" s="581" t="s">
        <v>452</v>
      </c>
      <c r="F43" s="722" t="s">
        <v>509</v>
      </c>
      <c r="G43" s="1296"/>
      <c r="J43" s="668">
        <v>22</v>
      </c>
      <c r="K43" s="711">
        <v>5.4113757848534554E-2</v>
      </c>
      <c r="L43" s="712">
        <v>8.550236027384589E-2</v>
      </c>
    </row>
    <row r="44" spans="1:12" ht="18">
      <c r="A44" s="571" t="s">
        <v>510</v>
      </c>
      <c r="B44" s="730">
        <f>D42/D43</f>
        <v>4.614195169215151E-2</v>
      </c>
      <c r="C44" s="97"/>
      <c r="D44" s="599">
        <f t="shared" ref="D44:D45" si="3">IF(ISBLANK(C44),B44,C44)</f>
        <v>4.614195169215151E-2</v>
      </c>
      <c r="E44" s="586"/>
      <c r="F44" s="722"/>
      <c r="G44" s="1296"/>
      <c r="J44" s="668">
        <v>23</v>
      </c>
      <c r="K44" s="711">
        <v>5.2245143299300745E-2</v>
      </c>
      <c r="L44" s="712">
        <v>8.2261489427137027E-2</v>
      </c>
    </row>
    <row r="45" spans="1:12" ht="18">
      <c r="A45" s="526" t="s">
        <v>511</v>
      </c>
      <c r="B45" s="730">
        <f>ROUNDDOWN(D42/D43,0)</f>
        <v>0</v>
      </c>
      <c r="C45" s="57"/>
      <c r="D45" s="599">
        <f t="shared" si="3"/>
        <v>0</v>
      </c>
      <c r="E45" s="586"/>
      <c r="F45" s="658" t="s">
        <v>512</v>
      </c>
      <c r="G45" s="1296"/>
      <c r="J45" s="668">
        <v>24</v>
      </c>
      <c r="K45" s="711">
        <v>5.0462346148998645E-2</v>
      </c>
      <c r="L45" s="712">
        <v>7.9217323706584256E-2</v>
      </c>
    </row>
    <row r="46" spans="1:12">
      <c r="A46" s="280"/>
      <c r="B46" s="280"/>
      <c r="D46" s="280"/>
      <c r="E46" s="280"/>
      <c r="F46" s="280"/>
      <c r="G46" s="616"/>
      <c r="J46" s="668">
        <v>25</v>
      </c>
      <c r="K46" s="711">
        <v>4.8757916073247601E-2</v>
      </c>
      <c r="L46" s="712">
        <v>7.6296999916055375E-2</v>
      </c>
    </row>
    <row r="47" spans="1:12" ht="18">
      <c r="A47" s="526" t="s">
        <v>202</v>
      </c>
      <c r="B47" s="734" cm="1">
        <f t="array" ref="B47">IFERROR(INDEX(Tb_Cpr[],MATCH(A47,Tb_Cpr[Parameter],0),HLOOKUP($E$11,'Conversion data'!$C$2:$AF$3,2,FALSE)+2),"-")</f>
        <v>0.06</v>
      </c>
      <c r="C47" s="57"/>
      <c r="D47" s="512">
        <f t="shared" ref="D47:D55" si="4">IF(ISBLANK(C47),B47,C47)</f>
        <v>0.06</v>
      </c>
      <c r="E47" s="581"/>
      <c r="F47" s="658" t="s">
        <v>281</v>
      </c>
      <c r="G47" s="1187" t="s">
        <v>513</v>
      </c>
      <c r="J47" s="668">
        <v>26</v>
      </c>
      <c r="K47" s="711">
        <v>4.7125311037296752E-2</v>
      </c>
      <c r="L47" s="712">
        <v>7.3496426943786969E-2</v>
      </c>
    </row>
    <row r="48" spans="1:12" ht="18">
      <c r="A48" s="571" t="s">
        <v>206</v>
      </c>
      <c r="B48" s="735" cm="1">
        <f t="array" ref="B48">IFERROR(INDEX(Tb_Cpr[],MATCH(A48,Tb_Cpr[Parameter],0),HLOOKUP($E$11,'Conversion data'!$C$2:$AF$3,2,FALSE)+2),"-")</f>
        <v>15</v>
      </c>
      <c r="C48" s="97"/>
      <c r="D48" s="661">
        <f t="shared" si="4"/>
        <v>15</v>
      </c>
      <c r="E48" s="581" t="s">
        <v>207</v>
      </c>
      <c r="F48" s="722" t="s">
        <v>283</v>
      </c>
      <c r="G48" s="1189"/>
      <c r="J48" s="668">
        <v>27</v>
      </c>
      <c r="K48" s="711">
        <v>4.5558756145936991E-2</v>
      </c>
      <c r="L48" s="712">
        <v>7.0846827282211172E-2</v>
      </c>
    </row>
    <row r="49" spans="1:12">
      <c r="A49" s="526" t="s">
        <v>211</v>
      </c>
      <c r="B49" s="734" cm="1">
        <f t="array" ref="B49">IFERROR((INDEX(Tb_Cpr[],MATCH(A49,Tb_Cpr[Parameter],0),HLOOKUP($E$11,'Conversion data'!$C$2:$AF$3,2,FALSE)+2)+1)/(1+'General values'!R9)-1,"-")</f>
        <v>6.1086139562302133E-2</v>
      </c>
      <c r="C49" s="57"/>
      <c r="D49" s="512">
        <f t="shared" si="4"/>
        <v>6.1086139562302133E-2</v>
      </c>
      <c r="E49" s="581"/>
      <c r="F49" s="658" t="s">
        <v>284</v>
      </c>
      <c r="G49" s="1189"/>
      <c r="J49" s="668">
        <v>28</v>
      </c>
      <c r="K49" s="711">
        <v>4.4053128741074331E-2</v>
      </c>
      <c r="L49" s="712">
        <v>6.8274173544975766E-2</v>
      </c>
    </row>
    <row r="50" spans="1:12" ht="18">
      <c r="A50" s="526" t="s">
        <v>463</v>
      </c>
      <c r="B50" s="736" cm="1">
        <f t="array" ref="B50">IFERROR(INDEX(Tb_Cpr[],MATCH(A50,Tb_Cpr[Parameter],0),HLOOKUP($E$11,'Conversion data'!$C$2:$AF$3,2,FALSE)+2),"-")</f>
        <v>0.8</v>
      </c>
      <c r="C50" s="57"/>
      <c r="D50" s="509">
        <f t="shared" si="4"/>
        <v>0.8</v>
      </c>
      <c r="E50" s="335"/>
      <c r="F50" s="658" t="s">
        <v>514</v>
      </c>
      <c r="G50" s="1189"/>
      <c r="J50" s="668">
        <v>29</v>
      </c>
      <c r="K50" s="711">
        <v>4.2603864114221061E-2</v>
      </c>
      <c r="L50" s="712">
        <v>6.5834704189090057E-2</v>
      </c>
    </row>
    <row r="51" spans="1:12" ht="18">
      <c r="A51" s="526" t="s">
        <v>229</v>
      </c>
      <c r="B51" s="735" cm="1">
        <f t="array" ref="B51">IFERROR(INDEX(Tb_Cpr[],MATCH(A51,Tb_Cpr[Parameter],0),HLOOKUP($E$11,'Conversion data'!$C$2:$AF$3,2,FALSE)+2),"-")</f>
        <v>0.18</v>
      </c>
      <c r="C51" s="57"/>
      <c r="D51" s="509">
        <f t="shared" si="4"/>
        <v>0.18</v>
      </c>
      <c r="E51" s="335"/>
      <c r="F51" s="658" t="s">
        <v>515</v>
      </c>
      <c r="G51" s="1189"/>
      <c r="J51" s="668">
        <v>30</v>
      </c>
      <c r="K51" s="711">
        <v>4.1206877559672103E-2</v>
      </c>
      <c r="L51" s="712">
        <v>6.3477650398445648E-2</v>
      </c>
    </row>
    <row r="52" spans="1:12" ht="18">
      <c r="A52" s="526" t="s">
        <v>516</v>
      </c>
      <c r="B52" s="735" cm="1">
        <f t="array" ref="B52">IFERROR(INDEX(Tb_Cpr[],MATCH(A52,Tb_Cpr[Parameter],0),HLOOKUP($E$11,'Conversion data'!$C$2:$AF$3,2,FALSE)+2),"-")</f>
        <v>1254.5592000000001</v>
      </c>
      <c r="C52" s="57"/>
      <c r="D52" s="509">
        <f t="shared" si="4"/>
        <v>1254.5592000000001</v>
      </c>
      <c r="E52" s="335" t="s">
        <v>466</v>
      </c>
      <c r="F52" s="658"/>
      <c r="G52" s="1189"/>
      <c r="J52" s="668">
        <v>31</v>
      </c>
      <c r="K52" s="711">
        <v>3.9858499491167994E-2</v>
      </c>
      <c r="L52" s="712">
        <v>6.1196458505627487E-2</v>
      </c>
    </row>
    <row r="53" spans="1:12" ht="18">
      <c r="A53" s="526" t="s">
        <v>467</v>
      </c>
      <c r="B53" s="735" cm="1">
        <f t="array" ref="B53">IFERROR(INDEX(Tb_Cpr[],MATCH(A53,Tb_Cpr[Parameter],0),HLOOKUP($E$11,'Conversion data'!$C$2:$AF$3,2,FALSE)+2),"-")</f>
        <v>4000</v>
      </c>
      <c r="C53" s="57"/>
      <c r="D53" s="509">
        <f t="shared" si="4"/>
        <v>4000</v>
      </c>
      <c r="E53" s="335" t="s">
        <v>452</v>
      </c>
      <c r="F53" s="658"/>
      <c r="G53" s="1189"/>
      <c r="J53" s="668">
        <v>32</v>
      </c>
      <c r="K53" s="711">
        <v>3.8555421084996787E-2</v>
      </c>
      <c r="L53" s="712">
        <v>5.9029833016652163E-2</v>
      </c>
    </row>
    <row r="54" spans="1:12" ht="18">
      <c r="A54" s="526" t="s">
        <v>468</v>
      </c>
      <c r="B54" s="735" cm="1">
        <f t="array" ref="B54">IFERROR(INDEX(Tb_Cpr[],MATCH(A54,Tb_Cpr[Parameter],0),HLOOKUP($E$11,'Conversion data'!$C$2:$AF$3,2,FALSE)+2),"-")</f>
        <v>200</v>
      </c>
      <c r="C54" s="57"/>
      <c r="D54" s="509">
        <f t="shared" si="4"/>
        <v>200</v>
      </c>
      <c r="E54" s="335" t="s">
        <v>59</v>
      </c>
      <c r="F54" s="658"/>
      <c r="G54" s="1189"/>
      <c r="J54" s="668">
        <v>33</v>
      </c>
      <c r="K54" s="711">
        <v>3.7294648467806987E-2</v>
      </c>
      <c r="L54" s="712">
        <v>5.6878460170503131E-2</v>
      </c>
    </row>
    <row r="55" spans="1:12">
      <c r="A55" s="526" t="s">
        <v>296</v>
      </c>
      <c r="B55" s="737">
        <f>(IF(D42&gt;D43,D45*(D52*D53*((D43/D53)^(D50))*((D28/D54)^(D51)))+(D52*D53*(((D44-D45)*(D43/D53))^(D50))*((D28/D54)^(D51))), (D52*D53*((D42/D53)^(D50))*((D28/D54)^(D51)))))*(10^-6)</f>
        <v>1.3518226363134702</v>
      </c>
      <c r="C55" s="57"/>
      <c r="D55" s="725">
        <f t="shared" si="4"/>
        <v>1.3518226363134702</v>
      </c>
      <c r="E55" s="415" t="s">
        <v>292</v>
      </c>
      <c r="F55" s="659"/>
      <c r="G55" s="1188"/>
      <c r="J55" s="668">
        <v>34</v>
      </c>
      <c r="K55" s="711">
        <v>3.6073463888181348E-2</v>
      </c>
      <c r="L55" s="712">
        <v>5.4876164525536716E-2</v>
      </c>
    </row>
    <row r="56" spans="1:12">
      <c r="A56" s="280"/>
      <c r="B56" s="715"/>
      <c r="C56" s="239"/>
      <c r="D56" s="716"/>
      <c r="E56" s="280"/>
      <c r="F56" s="717"/>
      <c r="G56" s="616"/>
      <c r="J56" s="668">
        <v>35</v>
      </c>
      <c r="K56" s="711">
        <v>3.4889392632799443E-2</v>
      </c>
      <c r="L56" s="712">
        <v>5.2896349094923183E-2</v>
      </c>
    </row>
    <row r="57" spans="1:12" ht="17">
      <c r="A57" s="526" t="s">
        <v>517</v>
      </c>
      <c r="B57" s="738">
        <f>'Conversion data'!G23</f>
        <v>0</v>
      </c>
      <c r="C57" s="57"/>
      <c r="D57" s="661">
        <f t="shared" ref="D57" si="5">IF(ISBLANK(C57),B57,C57)</f>
        <v>0</v>
      </c>
      <c r="E57" s="335" t="s">
        <v>331</v>
      </c>
      <c r="F57" s="659" t="s">
        <v>518</v>
      </c>
      <c r="G57" s="721" t="s">
        <v>519</v>
      </c>
      <c r="J57" s="668">
        <v>36</v>
      </c>
      <c r="K57" s="711">
        <v>3.3740174696216492E-2</v>
      </c>
      <c r="L57" s="712">
        <v>5.0976428100300931E-2</v>
      </c>
    </row>
    <row r="58" spans="1:12" ht="17" thickBot="1">
      <c r="A58" s="280"/>
      <c r="B58" s="715"/>
      <c r="C58" s="715"/>
      <c r="D58" s="716"/>
      <c r="E58" s="280"/>
      <c r="F58" s="717"/>
      <c r="G58" s="616"/>
      <c r="J58" s="668">
        <v>37</v>
      </c>
      <c r="K58" s="711">
        <v>3.2623740406271758E-2</v>
      </c>
      <c r="L58" s="712">
        <v>4.9153555774833248E-2</v>
      </c>
    </row>
    <row r="59" spans="1:12" ht="17" thickBot="1">
      <c r="A59" s="995" t="s">
        <v>297</v>
      </c>
      <c r="B59" s="996"/>
      <c r="C59" s="996"/>
      <c r="D59" s="996"/>
      <c r="E59" s="996"/>
      <c r="F59" s="996"/>
      <c r="G59" s="997"/>
      <c r="J59" s="668">
        <v>38</v>
      </c>
      <c r="K59" s="711">
        <v>3.1538189358333579E-2</v>
      </c>
      <c r="L59" s="712">
        <v>4.7335852396476738E-2</v>
      </c>
    </row>
    <row r="60" spans="1:12">
      <c r="A60" s="280"/>
      <c r="B60" s="280"/>
      <c r="C60" s="280"/>
      <c r="D60" s="280"/>
      <c r="E60" s="280"/>
      <c r="F60" s="280"/>
      <c r="G60" s="280"/>
      <c r="J60" s="668">
        <v>39</v>
      </c>
      <c r="K60" s="711">
        <v>3.2005408314604203E-2</v>
      </c>
      <c r="L60" s="712">
        <v>4.8129338528428635E-2</v>
      </c>
    </row>
    <row r="61" spans="1:12" ht="18">
      <c r="A61" s="1080" t="s">
        <v>520</v>
      </c>
      <c r="B61" s="1081"/>
      <c r="C61" s="1081"/>
      <c r="D61" s="718">
        <f>IF(OR($E$10="Compression of gas into truck",$E$10="Compression of gas in pipeline"), D42*D21*8760/1000, (D42*FinalStorage!$D$27*FinalStorage!$E$11)/1000)</f>
        <v>3233.6279745859774</v>
      </c>
      <c r="E61" s="415" t="s">
        <v>521</v>
      </c>
      <c r="F61" s="280"/>
      <c r="G61" s="280"/>
      <c r="J61" s="668">
        <v>40</v>
      </c>
      <c r="K61" s="711">
        <v>3.0870059962289673E-2</v>
      </c>
      <c r="L61" s="712">
        <v>4.6226661538706741E-2</v>
      </c>
    </row>
    <row r="62" spans="1:12" ht="18">
      <c r="A62" s="1080" t="s">
        <v>522</v>
      </c>
      <c r="B62" s="1081"/>
      <c r="C62" s="1081"/>
      <c r="D62" s="718">
        <f>IF(OR($E$10="Compression of gas into truck",$E$10="Compression of gas in pipeline"), (D25*D21*8760*(1-D20))/1000, ((FinalStorage!$D$27*D25*(1-D20))*FinalStorage!$E$11)/1000)</f>
        <v>3146.6875000000005</v>
      </c>
      <c r="E62" s="415" t="s">
        <v>523</v>
      </c>
      <c r="F62" s="280"/>
      <c r="G62" s="280"/>
      <c r="J62" s="668">
        <v>41</v>
      </c>
      <c r="K62" s="711">
        <v>2.9767300528511183E-2</v>
      </c>
      <c r="L62" s="712">
        <v>4.4446961357214106E-2</v>
      </c>
    </row>
    <row r="63" spans="1:12" ht="17" thickBot="1">
      <c r="A63" s="280"/>
      <c r="B63" s="280"/>
      <c r="C63" s="280"/>
      <c r="D63" s="280"/>
      <c r="E63" s="280"/>
      <c r="F63" s="280"/>
      <c r="G63" s="280"/>
      <c r="J63" s="668">
        <v>42</v>
      </c>
      <c r="K63" s="711">
        <v>2.8695306830244533E-2</v>
      </c>
      <c r="L63" s="712">
        <v>4.2689541095028677E-2</v>
      </c>
    </row>
    <row r="64" spans="1:12" ht="19" thickBot="1">
      <c r="A64" s="1074" t="s">
        <v>524</v>
      </c>
      <c r="B64" s="1075"/>
      <c r="C64" s="1075"/>
      <c r="D64" s="602">
        <f>IF(D26&lt;D28,SUM('CFA Compression'!J4:J42)*10^6/(SUM('CFA Compression'!L4:L42)*1000),0)</f>
        <v>0.18336275679395417</v>
      </c>
      <c r="E64" s="419" t="s">
        <v>75</v>
      </c>
      <c r="F64" s="280"/>
      <c r="G64" s="280"/>
      <c r="J64" s="668">
        <v>43</v>
      </c>
      <c r="K64" s="711">
        <v>2.7652391546925954E-2</v>
      </c>
      <c r="L64" s="712">
        <v>4.0960019772105706E-2</v>
      </c>
    </row>
    <row r="65" spans="1:12">
      <c r="A65" s="1071" t="s">
        <v>321</v>
      </c>
      <c r="B65" s="1072"/>
      <c r="C65" s="1072"/>
      <c r="D65" s="1072"/>
      <c r="E65" s="1073"/>
      <c r="F65" s="280"/>
      <c r="G65" s="280"/>
      <c r="J65" s="668">
        <v>44</v>
      </c>
      <c r="K65" s="711">
        <v>2.6636989673099524E-2</v>
      </c>
      <c r="L65" s="712">
        <v>3.9337648627041581E-2</v>
      </c>
    </row>
    <row r="66" spans="1:12" ht="18">
      <c r="A66" s="1067" t="s">
        <v>525</v>
      </c>
      <c r="B66" s="1068"/>
      <c r="C66" s="1068"/>
      <c r="D66" s="719">
        <f>IF(D26&lt;D28,D64-D67,0)</f>
        <v>7.0323544223764897E-2</v>
      </c>
      <c r="E66" s="421" t="s">
        <v>75</v>
      </c>
      <c r="F66" s="280"/>
      <c r="G66" s="280"/>
      <c r="J66" s="668">
        <v>45</v>
      </c>
      <c r="K66" s="711">
        <v>2.5647646535346912E-2</v>
      </c>
      <c r="L66" s="712">
        <v>3.7736993214515104E-2</v>
      </c>
    </row>
    <row r="67" spans="1:12" ht="19" thickBot="1">
      <c r="A67" s="1069" t="s">
        <v>526</v>
      </c>
      <c r="B67" s="1070"/>
      <c r="C67" s="1070"/>
      <c r="D67" s="720">
        <f>IF(D26&lt;D28,SUM('CFA Compression'!I4:I42)*10^6/(SUM('CFA Compression'!L4:L42)*1000),0)</f>
        <v>0.11303921257018927</v>
      </c>
      <c r="E67" s="423" t="s">
        <v>75</v>
      </c>
      <c r="F67" s="280"/>
      <c r="G67" s="280"/>
      <c r="J67" s="668">
        <v>46</v>
      </c>
      <c r="K67" s="711">
        <v>2.4683007154081529E-2</v>
      </c>
      <c r="L67" s="712">
        <v>3.6136946434753611E-2</v>
      </c>
    </row>
    <row r="68" spans="1:12">
      <c r="A68" s="280"/>
      <c r="B68" s="280"/>
      <c r="C68" s="280"/>
      <c r="D68" s="280"/>
      <c r="E68" s="280"/>
      <c r="F68" s="280"/>
      <c r="G68" s="280"/>
      <c r="J68" s="668">
        <v>47</v>
      </c>
      <c r="K68" s="711">
        <v>2.3741806764119758E-2</v>
      </c>
      <c r="L68" s="712">
        <v>3.465289564439572E-2</v>
      </c>
    </row>
    <row r="69" spans="1:12">
      <c r="J69" s="668">
        <v>48</v>
      </c>
      <c r="K69" s="711">
        <v>2.2822862335307663E-2</v>
      </c>
      <c r="L69" s="712">
        <v>3.3192640327559655E-2</v>
      </c>
    </row>
    <row r="70" spans="1:12">
      <c r="D70" s="273"/>
      <c r="J70" s="668">
        <v>49</v>
      </c>
      <c r="K70" s="711">
        <v>2.1925064956973175E-2</v>
      </c>
      <c r="L70" s="712">
        <v>3.1734285838194633E-2</v>
      </c>
    </row>
    <row r="71" spans="1:12">
      <c r="J71" s="668">
        <v>50</v>
      </c>
      <c r="K71" s="711">
        <v>2.1047372968442897E-2</v>
      </c>
      <c r="L71" s="712">
        <v>3.0328676562620324E-2</v>
      </c>
    </row>
    <row r="72" spans="1:12">
      <c r="D72" s="173"/>
      <c r="J72" s="668">
        <v>51</v>
      </c>
      <c r="K72" s="711">
        <v>2.0188805732970879E-2</v>
      </c>
      <c r="L72" s="712">
        <v>2.8990296532896628E-2</v>
      </c>
    </row>
    <row r="73" spans="1:12">
      <c r="J73" s="668">
        <v>52</v>
      </c>
      <c r="K73" s="711">
        <v>1.9348437964682056E-2</v>
      </c>
      <c r="L73" s="712">
        <v>2.7669431758731666E-2</v>
      </c>
    </row>
    <row r="74" spans="1:12">
      <c r="J74" s="668">
        <v>53</v>
      </c>
      <c r="K74" s="711">
        <v>1.8525394527909217E-2</v>
      </c>
      <c r="L74" s="712">
        <v>2.6341577392062152E-2</v>
      </c>
    </row>
    <row r="75" spans="1:12">
      <c r="J75" s="668">
        <v>54</v>
      </c>
      <c r="K75" s="711">
        <v>1.7718845635865149E-2</v>
      </c>
      <c r="L75" s="712">
        <v>2.5079319832357207E-2</v>
      </c>
    </row>
    <row r="76" spans="1:12">
      <c r="J76" s="668">
        <v>55</v>
      </c>
      <c r="K76" s="711">
        <v>1.6928002381092995E-2</v>
      </c>
      <c r="L76" s="712">
        <v>2.3866721491391612E-2</v>
      </c>
    </row>
    <row r="77" spans="1:12">
      <c r="J77" s="668">
        <v>56</v>
      </c>
      <c r="K77" s="711">
        <v>1.6152112533627954E-2</v>
      </c>
      <c r="L77" s="712">
        <v>2.2669836337581472E-2</v>
      </c>
    </row>
    <row r="78" spans="1:12">
      <c r="J78" s="668">
        <v>57</v>
      </c>
      <c r="K78" s="711">
        <v>1.5390456544203337E-2</v>
      </c>
      <c r="L78" s="712">
        <v>2.1475757795727454E-2</v>
      </c>
    </row>
    <row r="79" spans="1:12">
      <c r="J79" s="668">
        <v>58</v>
      </c>
      <c r="K79" s="711">
        <v>1.464234368892783E-2</v>
      </c>
      <c r="L79" s="712">
        <v>2.0298548996480183E-2</v>
      </c>
    </row>
    <row r="80" spans="1:12">
      <c r="J80" s="668">
        <v>59</v>
      </c>
      <c r="K80" s="711">
        <v>1.3907108288232859E-2</v>
      </c>
      <c r="L80" s="712">
        <v>1.9195371442411215E-2</v>
      </c>
    </row>
    <row r="81" spans="10:12">
      <c r="J81" s="668">
        <v>60</v>
      </c>
      <c r="K81" s="711">
        <v>1.3184105925862461E-2</v>
      </c>
      <c r="L81" s="712">
        <v>1.8107813963428157E-2</v>
      </c>
    </row>
    <row r="82" spans="10:12">
      <c r="J82" s="668">
        <v>61</v>
      </c>
      <c r="K82" s="711">
        <v>1.2472709582188246E-2</v>
      </c>
      <c r="L82" s="712">
        <v>1.7030603917027792E-2</v>
      </c>
    </row>
    <row r="83" spans="10:12">
      <c r="J83" s="668">
        <v>62</v>
      </c>
      <c r="K83" s="711">
        <v>1.1772305578528553E-2</v>
      </c>
      <c r="L83" s="712">
        <v>1.5946617882868462E-2</v>
      </c>
    </row>
    <row r="84" spans="10:12">
      <c r="J84" s="668">
        <v>63</v>
      </c>
      <c r="K84" s="711">
        <v>1.1082289202879221E-2</v>
      </c>
      <c r="L84" s="712">
        <v>1.4904520453352565E-2</v>
      </c>
    </row>
    <row r="85" spans="10:12">
      <c r="J85" s="668">
        <v>64</v>
      </c>
      <c r="K85" s="711">
        <v>1.0402059848519364E-2</v>
      </c>
      <c r="L85" s="712">
        <v>1.3911515266681345E-2</v>
      </c>
    </row>
    <row r="86" spans="10:12">
      <c r="J86" s="668">
        <v>65</v>
      </c>
      <c r="K86" s="711">
        <v>9.7310154389576697E-3</v>
      </c>
      <c r="L86" s="712">
        <v>1.2931524272981229E-2</v>
      </c>
    </row>
    <row r="87" spans="10:12">
      <c r="J87" s="668">
        <v>66</v>
      </c>
      <c r="K87" s="711">
        <v>9.0685458252414246E-3</v>
      </c>
      <c r="L87" s="712">
        <v>1.196074578995629E-2</v>
      </c>
    </row>
    <row r="88" spans="10:12">
      <c r="J88" s="668">
        <v>67</v>
      </c>
      <c r="K88" s="711">
        <v>8.4140247073967167E-3</v>
      </c>
      <c r="L88" s="712">
        <v>1.0989508305793197E-2</v>
      </c>
    </row>
    <row r="89" spans="10:12">
      <c r="J89" s="668">
        <v>68</v>
      </c>
      <c r="K89" s="711">
        <v>7.7667994207964233E-3</v>
      </c>
      <c r="L89" s="712">
        <v>1.0024544924622868E-2</v>
      </c>
    </row>
    <row r="90" spans="10:12">
      <c r="J90" s="668">
        <v>69</v>
      </c>
      <c r="K90" s="711">
        <v>7.1261775872493672E-3</v>
      </c>
      <c r="L90" s="712">
        <v>9.1260931749663106E-3</v>
      </c>
    </row>
    <row r="91" spans="10:12">
      <c r="J91" s="668">
        <v>70</v>
      </c>
      <c r="K91" s="711">
        <v>6.4914090606772567E-3</v>
      </c>
      <c r="L91" s="712">
        <v>8.2394801920137335E-3</v>
      </c>
    </row>
    <row r="92" spans="10:12">
      <c r="J92" s="668">
        <v>71</v>
      </c>
      <c r="K92" s="711">
        <v>5.8616606062779726E-3</v>
      </c>
      <c r="L92" s="712">
        <v>7.3626402327948712E-3</v>
      </c>
    </row>
    <row r="93" spans="10:12">
      <c r="J93" s="668">
        <v>72</v>
      </c>
      <c r="K93" s="711">
        <v>5.2359789461089703E-3</v>
      </c>
      <c r="L93" s="712">
        <v>6.4919253694719556E-3</v>
      </c>
    </row>
    <row r="94" spans="10:12">
      <c r="J94" s="668">
        <v>73</v>
      </c>
      <c r="K94" s="711">
        <v>4.6132343214453381E-3</v>
      </c>
      <c r="L94" s="712">
        <v>5.6171060295043202E-3</v>
      </c>
    </row>
    <row r="95" spans="10:12">
      <c r="J95" s="668">
        <v>74</v>
      </c>
      <c r="K95" s="711">
        <v>3.9920295255127351E-3</v>
      </c>
      <c r="L95" s="712">
        <v>4.756684577739625E-3</v>
      </c>
    </row>
    <row r="96" spans="10:12">
      <c r="J96" s="668">
        <v>75</v>
      </c>
      <c r="K96" s="711">
        <v>3.3705431392273963E-3</v>
      </c>
      <c r="L96" s="712">
        <v>3.9505422566078344E-3</v>
      </c>
    </row>
    <row r="97" spans="10:12">
      <c r="J97" s="668">
        <v>76</v>
      </c>
      <c r="K97" s="711">
        <v>2.7462347768637554E-3</v>
      </c>
      <c r="L97" s="712">
        <v>3.1543411531729099E-3</v>
      </c>
    </row>
    <row r="98" spans="10:12">
      <c r="J98" s="668">
        <v>77</v>
      </c>
      <c r="K98" s="711">
        <v>2.1152196991877249E-3</v>
      </c>
      <c r="L98" s="712">
        <v>2.3666564689319661E-3</v>
      </c>
    </row>
    <row r="99" spans="10:12">
      <c r="J99" s="668">
        <v>78</v>
      </c>
      <c r="K99" s="711">
        <v>1.4706749288342855E-3</v>
      </c>
      <c r="L99" s="712">
        <v>1.585242225860652E-3</v>
      </c>
    </row>
    <row r="100" spans="10:12">
      <c r="J100" s="668">
        <v>79</v>
      </c>
      <c r="K100" s="711">
        <v>7.971980915504179E-4</v>
      </c>
      <c r="L100" s="712">
        <v>8.0542780260147286E-4</v>
      </c>
    </row>
    <row r="101" spans="10:12" ht="17" thickBot="1">
      <c r="J101" s="670">
        <v>80</v>
      </c>
      <c r="K101" s="713">
        <v>0</v>
      </c>
      <c r="L101" s="714">
        <v>0</v>
      </c>
    </row>
    <row r="102" spans="10:12">
      <c r="J102" s="280"/>
      <c r="K102" s="280"/>
      <c r="L102" s="280"/>
    </row>
    <row r="103" spans="10:12">
      <c r="J103" s="280"/>
      <c r="K103" s="280"/>
      <c r="L103" s="280"/>
    </row>
    <row r="104" spans="10:12">
      <c r="J104" s="280"/>
      <c r="K104" s="280"/>
      <c r="L104" s="280"/>
    </row>
    <row r="105" spans="10:12">
      <c r="J105" s="280"/>
      <c r="K105" s="280"/>
      <c r="L105" s="280"/>
    </row>
    <row r="106" spans="10:12">
      <c r="J106" s="280"/>
      <c r="K106" s="280"/>
      <c r="L106" s="280"/>
    </row>
    <row r="107" spans="10:12">
      <c r="J107" s="280"/>
      <c r="K107" s="280"/>
      <c r="L107" s="280"/>
    </row>
    <row r="108" spans="10:12">
      <c r="J108" s="280"/>
      <c r="K108" s="280"/>
      <c r="L108" s="280"/>
    </row>
    <row r="109" spans="10:12">
      <c r="J109" s="280"/>
      <c r="K109" s="280"/>
      <c r="L109" s="280"/>
    </row>
    <row r="110" spans="10:12">
      <c r="J110" s="280"/>
      <c r="K110" s="280"/>
      <c r="L110" s="280"/>
    </row>
    <row r="111" spans="10:12">
      <c r="J111" s="280"/>
      <c r="K111" s="280"/>
      <c r="L111" s="280"/>
    </row>
    <row r="112" spans="10:12">
      <c r="J112" s="280"/>
      <c r="K112" s="280"/>
      <c r="L112" s="280"/>
    </row>
    <row r="113" spans="10:12">
      <c r="J113" s="280"/>
      <c r="K113" s="280"/>
      <c r="L113" s="280"/>
    </row>
    <row r="114" spans="10:12">
      <c r="J114" s="280"/>
      <c r="K114" s="280"/>
      <c r="L114" s="280"/>
    </row>
    <row r="115" spans="10:12">
      <c r="J115" s="280"/>
      <c r="K115" s="280"/>
      <c r="L115" s="280"/>
    </row>
    <row r="116" spans="10:12">
      <c r="J116" s="280"/>
      <c r="K116" s="280"/>
      <c r="L116" s="280"/>
    </row>
  </sheetData>
  <sheetProtection algorithmName="SHA-512" hashValue="X1H6YotZKzNOi/+0swgEfDLHneSzjUJHDue+5zP4cgISDLI76o9x4CmMgrbbVf0I7qegW9eXNBDvefGYwjoJvg==" saltValue="mIxhDcNtzjyRHc9XuveJ/A==" spinCount="100000" sheet="1" objects="1" scenarios="1"/>
  <mergeCells count="27">
    <mergeCell ref="K20:L20"/>
    <mergeCell ref="A12:D12"/>
    <mergeCell ref="E12:G12"/>
    <mergeCell ref="A3:G4"/>
    <mergeCell ref="A5:D6"/>
    <mergeCell ref="E5:G6"/>
    <mergeCell ref="A14:D14"/>
    <mergeCell ref="E14:G14"/>
    <mergeCell ref="A8:D8"/>
    <mergeCell ref="E8:G8"/>
    <mergeCell ref="A11:D11"/>
    <mergeCell ref="E11:G11"/>
    <mergeCell ref="A10:D10"/>
    <mergeCell ref="E10:G10"/>
    <mergeCell ref="A66:C66"/>
    <mergeCell ref="A67:C67"/>
    <mergeCell ref="A61:C61"/>
    <mergeCell ref="A62:C62"/>
    <mergeCell ref="A16:G16"/>
    <mergeCell ref="G33:G38"/>
    <mergeCell ref="G25:G31"/>
    <mergeCell ref="G20:G23"/>
    <mergeCell ref="A64:C64"/>
    <mergeCell ref="A65:E65"/>
    <mergeCell ref="G47:G55"/>
    <mergeCell ref="G40:G45"/>
    <mergeCell ref="A59:G59"/>
  </mergeCells>
  <phoneticPr fontId="11" type="noConversion"/>
  <hyperlinks>
    <hyperlink ref="A1" location="HOME!A1" display="HOME" xr:uid="{E5A40D50-5476-614F-AD11-85C457403A18}"/>
  </hyperlinks>
  <pageMargins left="0.7" right="0.7" top="0.75" bottom="0.75" header="0.3" footer="0.3"/>
  <pageSetup paperSize="9" orientation="portrait"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DE9AEDE-D67E-4442-8666-79CD0BC17A20}">
          <x14:formula1>
            <xm:f>'List DB'!$Q$11:$Q$25</xm:f>
          </x14:formula1>
          <xm:sqref>E11:G11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8F06-85C6-2840-814E-002B175BB588}">
  <sheetPr>
    <tabColor theme="7" tint="0.79998168889431442"/>
  </sheetPr>
  <dimension ref="A1:N43"/>
  <sheetViews>
    <sheetView zoomScale="60" zoomScaleNormal="60" workbookViewId="0">
      <selection activeCell="B2" sqref="B2:L42"/>
    </sheetView>
  </sheetViews>
  <sheetFormatPr baseColWidth="10" defaultColWidth="8.83203125" defaultRowHeight="16"/>
  <cols>
    <col min="1" max="3" width="10.83203125" style="31" customWidth="1"/>
    <col min="4" max="4" width="13.5" style="31" customWidth="1"/>
    <col min="5" max="11" width="10.83203125" style="31" customWidth="1"/>
    <col min="12" max="12" width="16.5" style="31" customWidth="1"/>
    <col min="13" max="19" width="10.83203125" style="31" customWidth="1"/>
    <col min="20" max="16384" width="8.83203125" style="31"/>
  </cols>
  <sheetData>
    <row r="1" spans="1:14" ht="17" thickBot="1">
      <c r="A1" s="151" t="s">
        <v>234</v>
      </c>
    </row>
    <row r="2" spans="1:14" ht="18" thickTop="1">
      <c r="B2" s="739"/>
      <c r="C2" s="740"/>
      <c r="D2" s="741" t="s">
        <v>527</v>
      </c>
      <c r="E2" s="742" t="s">
        <v>528</v>
      </c>
      <c r="F2" s="743" t="s">
        <v>528</v>
      </c>
      <c r="G2" s="742" t="s">
        <v>528</v>
      </c>
      <c r="H2" s="744" t="s">
        <v>528</v>
      </c>
      <c r="I2" s="745" t="s">
        <v>528</v>
      </c>
      <c r="J2" s="745" t="s">
        <v>528</v>
      </c>
      <c r="K2" s="746" t="s">
        <v>529</v>
      </c>
      <c r="L2" s="747" t="s">
        <v>529</v>
      </c>
    </row>
    <row r="3" spans="1:14" ht="34">
      <c r="B3" s="748" t="s">
        <v>530</v>
      </c>
      <c r="C3" s="749" t="s">
        <v>531</v>
      </c>
      <c r="D3" s="750" t="s">
        <v>532</v>
      </c>
      <c r="E3" s="751" t="s">
        <v>533</v>
      </c>
      <c r="F3" s="752" t="s">
        <v>534</v>
      </c>
      <c r="G3" s="751" t="s">
        <v>535</v>
      </c>
      <c r="H3" s="753" t="s">
        <v>536</v>
      </c>
      <c r="I3" s="754" t="s">
        <v>537</v>
      </c>
      <c r="J3" s="755" t="s">
        <v>538</v>
      </c>
      <c r="K3" s="756" t="s">
        <v>539</v>
      </c>
      <c r="L3" s="757" t="s">
        <v>540</v>
      </c>
    </row>
    <row r="4" spans="1:14">
      <c r="B4" s="758">
        <v>2022</v>
      </c>
      <c r="C4" s="759">
        <f>IF(B4=HOME!$A$9,B4-HOME!$A$9,IF(B4&lt;HOME!$A$9,"",IF(B4&gt;HOME!$A$9+Compression!$D$48,"",B4-HOME!$A$9)))</f>
        <v>0</v>
      </c>
      <c r="D4" s="760" cm="1">
        <f t="array" ref="D4">IF(B4=HOME!$A$9,0,IF(B4&lt;HOME!$A$9,"",IF(B4&gt;Compression!$D$48+HOME!$A$9,"",IF(Compression!$E$11='List DB'!$Q$11,IF(HOME!$B$64="Electrolysis",IF(HOME!$B$65="Grid",INDEX(Tb_Fuel[],MATCH(B4,Tb_Fuel[Year],0),HLOOKUP(Compression!$E$14&amp;" - Grid",'Fuel Data'!$BB$2:$BX$3,2,FALSE)+1),INDEX(Tb_LCOE[],MATCH(HOME!$A$9,Tb_LCOE[Year],0),HLOOKUP("LCOE"&amp;HOME!$B$65,LCOE!$B$3:$G$4,2,FALSE)+1)/1000),INDEX(Tb_Fuel[],MATCH(B4,Tb_Fuel[Year],0),HLOOKUP(Compression!$E$14&amp;" - Gas",'Fuel Data'!$BB$2:$BX$3,2,FALSE)+1)/0.3),INDEX(Tb_Fuel[],MATCH(B4,Tb_Fuel[Year],0),HLOOKUP(Compression!$E$14&amp;" - Grid",'Fuel Data'!$BB$2:$BX$3,2,FALSE)+1)))))</f>
        <v>0</v>
      </c>
      <c r="E4" s="760">
        <f>IF(B4=HOME!$A$9,Compression!$D$55,IF(B4&lt;HOME!$A$9,"",IF(B4&gt;Compression!$D$48+HOME!$A$9,"",0)))</f>
        <v>1.3518226363134702</v>
      </c>
      <c r="F4" s="760">
        <f>IF(B4=HOME!$A$9,0,IF(B4&lt;HOME!$A$9,"",IF(B4&gt;Compression!$D$48+HOME!$A$9,"",Compression!$D$55*Compression!$D$47)))</f>
        <v>0</v>
      </c>
      <c r="G4" s="760">
        <f>IF(B4=HOME!$A$9,0,IF(B4&lt;HOME!$A$9,"",IF(B4&gt;Compression!$D$48+HOME!$A$9,"",D4/10^6*Compression!$D$61*1000)))</f>
        <v>0</v>
      </c>
      <c r="H4" s="761">
        <f>IF(B4=HOME!$A$9,SUM(E4:G4),IF(B4&lt;HOME!$A$9,"",IF(B4&gt;Compression!$D$48+HOME!$A$9,"",SUM(E4:G4))))</f>
        <v>1.3518226363134702</v>
      </c>
      <c r="I4" s="761">
        <f>IF(B4=HOME!$A$9,G4/(1+Compression!$D$49)^'CFA Compression'!C4,IF(B4&lt;HOME!$A$9,"",IF(B4&gt;Compression!$D$48+HOME!$A$9,"",G4/(1+Compression!$D$49)^'CFA Compression'!C4)))</f>
        <v>0</v>
      </c>
      <c r="J4" s="761">
        <f>IF(B4=HOME!$A$9,H4/(1+Compression!$D$49)^'CFA Compression'!C4,IF(B4&lt;HOME!$A$9,"",IF(B4&gt;Compression!$D$48+HOME!$A$9,"",H4/(1+Compression!$D$49)^'CFA Compression'!C4)))</f>
        <v>1.3518226363134702</v>
      </c>
      <c r="K4" s="762">
        <f>IF(B4=HOME!$A$9,0,IF(B4&lt;HOME!$A$9,"",IF(B4&gt;Compression!$D$48+HOME!$A$9,"",Compression!$D$62)))</f>
        <v>0</v>
      </c>
      <c r="L4" s="763">
        <f>IF(B4=HOME!$A$9,0,IF(B4&lt;HOME!$A$9,"",IF(B4&gt;Compression!$D$48+HOME!$A$9,"",K4/(1+Compression!$D$49)^'CFA Compression'!C4)))</f>
        <v>0</v>
      </c>
      <c r="N4" s="88"/>
    </row>
    <row r="5" spans="1:14">
      <c r="B5" s="764">
        <v>2023</v>
      </c>
      <c r="C5" s="765">
        <f>IF(B5=HOME!$A$9,B5-HOME!$A$9,IF(B5&lt;HOME!$A$9,"",IF(B5&gt;HOME!$A$9+Compression!$D$48,"",B5-HOME!$A$9)))</f>
        <v>1</v>
      </c>
      <c r="D5" s="766" cm="1">
        <f t="array" ref="D5">IF(B5=HOME!$A$9,0,IF(B5&lt;HOME!$A$9,"",IF(B5&gt;Compression!$D$48+HOME!$A$9,"",IF(Compression!$E$11='List DB'!$Q$11,IF(HOME!$B$64="Electrolysis",IF(HOME!$B$65="Grid",INDEX(Tb_Fuel[],MATCH(B5,Tb_Fuel[Year],0),HLOOKUP(Compression!$E$14&amp;" - Grid",'Fuel Data'!$BB$2:$BX$3,2,FALSE)+1),INDEX(Tb_LCOE[],MATCH(HOME!$A$9,Tb_LCOE[Year],0),HLOOKUP("LCOE"&amp;HOME!$B$65,LCOE!$B$3:$G$4,2,FALSE)+1)/1000),INDEX(Tb_Fuel[],MATCH(B5,Tb_Fuel[Year],0),HLOOKUP(Compression!$E$14&amp;" - Gas",'Fuel Data'!$BB$2:$BX$3,2,FALSE)+1)/0.3),INDEX(Tb_Fuel[],MATCH(B5,Tb_Fuel[Year],0),HLOOKUP(Compression!$E$14&amp;" - Grid",'Fuel Data'!$BB$2:$BX$3,2,FALSE)+1)))))</f>
        <v>0.11</v>
      </c>
      <c r="E5" s="766">
        <f>IF(B5=HOME!$A$9,Compression!$D$55,IF(B5&lt;HOME!$A$9,"",IF(B5&gt;Compression!$D$48+HOME!$A$9,"",0)))</f>
        <v>0</v>
      </c>
      <c r="F5" s="766">
        <f>IF(B5=HOME!$A$9,0,IF(B5&lt;HOME!$A$9,"",IF(B5&gt;Compression!$D$48+HOME!$A$9,"",Compression!$D$55*Compression!$D$47)))</f>
        <v>8.1109358178808211E-2</v>
      </c>
      <c r="G5" s="766">
        <f>IF(B5=HOME!$A$9,0,IF(B5&lt;HOME!$A$9,"",IF(B5&gt;Compression!$D$48+HOME!$A$9,"",D5/10^6*Compression!$D$61*1000)))</f>
        <v>0.35569907720445754</v>
      </c>
      <c r="H5" s="767">
        <f>IF(B5=HOME!$A$9,SUM(E5:G5),IF(B5&lt;HOME!$A$9,"",IF(B5&gt;Compression!$D$48+HOME!$A$9,"",SUM(E5:G5))))</f>
        <v>0.43680843538326575</v>
      </c>
      <c r="I5" s="767">
        <f>IF(B5=HOME!$A$9,G5/(1+Compression!$D$49)^'CFA Compression'!C5,IF(B5&lt;HOME!$A$9,"",IF(B5&gt;Compression!$D$48+HOME!$A$9,"",G5/(1+Compression!$D$49)^'CFA Compression'!C5)))</f>
        <v>0.33522167894039528</v>
      </c>
      <c r="J5" s="767">
        <f>IF(B5=HOME!$A$9,H5/(1+Compression!$D$49)^'CFA Compression'!C5,IF(B5&lt;HOME!$A$9,"",IF(B5&gt;Compression!$D$48+HOME!$A$9,"",H5/(1+Compression!$D$49)^'CFA Compression'!C5)))</f>
        <v>0.41166161642960408</v>
      </c>
      <c r="K5" s="768">
        <f>IF(B5=HOME!$A$9,0,IF(B5&lt;HOME!$A$9,"",IF(B5&gt;Compression!$D$48+HOME!$A$9,"",Compression!$D$62)))</f>
        <v>3146.6875000000005</v>
      </c>
      <c r="L5" s="769">
        <f>IF(B5=HOME!$A$9,0,IF(B5&lt;HOME!$A$9,"",IF(B5&gt;Compression!$D$48+HOME!$A$9,"",K5/(1+Compression!$D$49)^'CFA Compression'!C5)))</f>
        <v>2965.5344487847224</v>
      </c>
      <c r="N5" s="88"/>
    </row>
    <row r="6" spans="1:14">
      <c r="B6" s="764">
        <v>2024</v>
      </c>
      <c r="C6" s="765">
        <f>IF(B6=HOME!$A$9,B6-HOME!$A$9,IF(B6&lt;HOME!$A$9,"",IF(B6&gt;HOME!$A$9+Compression!$D$48,"",B6-HOME!$A$9)))</f>
        <v>2</v>
      </c>
      <c r="D6" s="766" cm="1">
        <f t="array" ref="D6">IF(B6=HOME!$A$9,0,IF(B6&lt;HOME!$A$9,"",IF(B6&gt;Compression!$D$48+HOME!$A$9,"",IF(Compression!$E$11='List DB'!$Q$11,IF(HOME!$B$64="Electrolysis",IF(HOME!$B$65="Grid",INDEX(Tb_Fuel[],MATCH(B6,Tb_Fuel[Year],0),HLOOKUP(Compression!$E$14&amp;" - Grid",'Fuel Data'!$BB$2:$BX$3,2,FALSE)+1),INDEX(Tb_LCOE[],MATCH(HOME!$A$9,Tb_LCOE[Year],0),HLOOKUP("LCOE"&amp;HOME!$B$65,LCOE!$B$3:$G$4,2,FALSE)+1)/1000),INDEX(Tb_Fuel[],MATCH(B6,Tb_Fuel[Year],0),HLOOKUP(Compression!$E$14&amp;" - Gas",'Fuel Data'!$BB$2:$BX$3,2,FALSE)+1)/0.3),INDEX(Tb_Fuel[],MATCH(B6,Tb_Fuel[Year],0),HLOOKUP(Compression!$E$14&amp;" - Grid",'Fuel Data'!$BB$2:$BX$3,2,FALSE)+1)))))</f>
        <v>0.11</v>
      </c>
      <c r="E6" s="766">
        <f>IF(B6=HOME!$A$9,Compression!$D$55,IF(B6&lt;HOME!$A$9,"",IF(B6&gt;Compression!$D$48+HOME!$A$9,"",0)))</f>
        <v>0</v>
      </c>
      <c r="F6" s="766">
        <f>IF(B6=HOME!$A$9,0,IF(B6&lt;HOME!$A$9,"",IF(B6&gt;Compression!$D$48+HOME!$A$9,"",Compression!$D$55*Compression!$D$47)))</f>
        <v>8.1109358178808211E-2</v>
      </c>
      <c r="G6" s="766">
        <f>IF(B6=HOME!$A$9,0,IF(B6&lt;HOME!$A$9,"",IF(B6&gt;Compression!$D$48+HOME!$A$9,"",D6/10^6*Compression!$D$61*1000)))</f>
        <v>0.35569907720445754</v>
      </c>
      <c r="H6" s="767">
        <f>IF(B6=HOME!$A$9,SUM(E6:G6),IF(B6&lt;HOME!$A$9,"",IF(B6&gt;Compression!$D$48+HOME!$A$9,"",SUM(E6:G6))))</f>
        <v>0.43680843538326575</v>
      </c>
      <c r="I6" s="767">
        <f>IF(B6=HOME!$A$9,G6/(1+Compression!$D$49)^'CFA Compression'!C6,IF(B6&lt;HOME!$A$9,"",IF(B6&gt;Compression!$D$48+HOME!$A$9,"",G6/(1+Compression!$D$49)^'CFA Compression'!C6)))</f>
        <v>0.31592315311806279</v>
      </c>
      <c r="J6" s="767">
        <f>IF(B6=HOME!$A$9,H6/(1+Compression!$D$49)^'CFA Compression'!C6,IF(B6&lt;HOME!$A$9,"",IF(B6&gt;Compression!$D$48+HOME!$A$9,"",H6/(1+Compression!$D$49)^'CFA Compression'!C6)))</f>
        <v>0.38796248587264975</v>
      </c>
      <c r="K6" s="768">
        <f>IF(B6=HOME!$A$9,0,IF(B6&lt;HOME!$A$9,"",IF(B6&gt;Compression!$D$48+HOME!$A$9,"",Compression!$D$62)))</f>
        <v>3146.6875000000005</v>
      </c>
      <c r="L6" s="769">
        <f>IF(B6=HOME!$A$9,0,IF(B6&lt;HOME!$A$9,"",IF(B6&gt;Compression!$D$48+HOME!$A$9,"",K6/(1+Compression!$D$49)^'CFA Compression'!C6)))</f>
        <v>2794.8102780873237</v>
      </c>
      <c r="N6" s="88"/>
    </row>
    <row r="7" spans="1:14">
      <c r="B7" s="764">
        <v>2025</v>
      </c>
      <c r="C7" s="765">
        <f>IF(B7=HOME!$A$9,B7-HOME!$A$9,IF(B7&lt;HOME!$A$9,"",IF(B7&gt;HOME!$A$9+Compression!$D$48,"",B7-HOME!$A$9)))</f>
        <v>3</v>
      </c>
      <c r="D7" s="766" cm="1">
        <f t="array" ref="D7">IF(B7=HOME!$A$9,0,IF(B7&lt;HOME!$A$9,"",IF(B7&gt;Compression!$D$48+HOME!$A$9,"",IF(Compression!$E$11='List DB'!$Q$11,IF(HOME!$B$64="Electrolysis",IF(HOME!$B$65="Grid",INDEX(Tb_Fuel[],MATCH(B7,Tb_Fuel[Year],0),HLOOKUP(Compression!$E$14&amp;" - Grid",'Fuel Data'!$BB$2:$BX$3,2,FALSE)+1),INDEX(Tb_LCOE[],MATCH(HOME!$A$9,Tb_LCOE[Year],0),HLOOKUP("LCOE"&amp;HOME!$B$65,LCOE!$B$3:$G$4,2,FALSE)+1)/1000),INDEX(Tb_Fuel[],MATCH(B7,Tb_Fuel[Year],0),HLOOKUP(Compression!$E$14&amp;" - Gas",'Fuel Data'!$BB$2:$BX$3,2,FALSE)+1)/0.3),INDEX(Tb_Fuel[],MATCH(B7,Tb_Fuel[Year],0),HLOOKUP(Compression!$E$14&amp;" - Grid",'Fuel Data'!$BB$2:$BX$3,2,FALSE)+1)))))</f>
        <v>0.11</v>
      </c>
      <c r="E7" s="766">
        <f>IF(B7=HOME!$A$9,Compression!$D$55,IF(B7&lt;HOME!$A$9,"",IF(B7&gt;Compression!$D$48+HOME!$A$9,"",0)))</f>
        <v>0</v>
      </c>
      <c r="F7" s="766">
        <f>IF(B7=HOME!$A$9,0,IF(B7&lt;HOME!$A$9,"",IF(B7&gt;Compression!$D$48+HOME!$A$9,"",Compression!$D$55*Compression!$D$47)))</f>
        <v>8.1109358178808211E-2</v>
      </c>
      <c r="G7" s="766">
        <f>IF(B7=HOME!$A$9,0,IF(B7&lt;HOME!$A$9,"",IF(B7&gt;Compression!$D$48+HOME!$A$9,"",D7/10^6*Compression!$D$61*1000)))</f>
        <v>0.35569907720445754</v>
      </c>
      <c r="H7" s="767">
        <f>IF(B7=HOME!$A$9,SUM(E7:G7),IF(B7&lt;HOME!$A$9,"",IF(B7&gt;Compression!$D$48+HOME!$A$9,"",SUM(E7:G7))))</f>
        <v>0.43680843538326575</v>
      </c>
      <c r="I7" s="767">
        <f>IF(B7=HOME!$A$9,G7/(1+Compression!$D$49)^'CFA Compression'!C7,IF(B7&lt;HOME!$A$9,"",IF(B7&gt;Compression!$D$48+HOME!$A$9,"",G7/(1+Compression!$D$49)^'CFA Compression'!C7)))</f>
        <v>0.29773563270591874</v>
      </c>
      <c r="J7" s="767">
        <f>IF(B7=HOME!$A$9,H7/(1+Compression!$D$49)^'CFA Compression'!C7,IF(B7&lt;HOME!$A$9,"",IF(B7&gt;Compression!$D$48+HOME!$A$9,"",H7/(1+Compression!$D$49)^'CFA Compression'!C7)))</f>
        <v>0.36562770109567566</v>
      </c>
      <c r="K7" s="768">
        <f>IF(B7=HOME!$A$9,0,IF(B7&lt;HOME!$A$9,"",IF(B7&gt;Compression!$D$48+HOME!$A$9,"",Compression!$D$62)))</f>
        <v>3146.6875000000005</v>
      </c>
      <c r="L7" s="769">
        <f>IF(B7=HOME!$A$9,0,IF(B7&lt;HOME!$A$9,"",IF(B7&gt;Compression!$D$48+HOME!$A$9,"",K7/(1+Compression!$D$49)^'CFA Compression'!C7)))</f>
        <v>2633.9146030502129</v>
      </c>
      <c r="N7" s="88"/>
    </row>
    <row r="8" spans="1:14">
      <c r="B8" s="764">
        <v>2026</v>
      </c>
      <c r="C8" s="765">
        <f>IF(B8=HOME!$A$9,B8-HOME!$A$9,IF(B8&lt;HOME!$A$9,"",IF(B8&gt;HOME!$A$9+Compression!$D$48,"",B8-HOME!$A$9)))</f>
        <v>4</v>
      </c>
      <c r="D8" s="766" cm="1">
        <f t="array" ref="D8">IF(B8=HOME!$A$9,0,IF(B8&lt;HOME!$A$9,"",IF(B8&gt;Compression!$D$48+HOME!$A$9,"",IF(Compression!$E$11='List DB'!$Q$11,IF(HOME!$B$64="Electrolysis",IF(HOME!$B$65="Grid",INDEX(Tb_Fuel[],MATCH(B8,Tb_Fuel[Year],0),HLOOKUP(Compression!$E$14&amp;" - Grid",'Fuel Data'!$BB$2:$BX$3,2,FALSE)+1),INDEX(Tb_LCOE[],MATCH(HOME!$A$9,Tb_LCOE[Year],0),HLOOKUP("LCOE"&amp;HOME!$B$65,LCOE!$B$3:$G$4,2,FALSE)+1)/1000),INDEX(Tb_Fuel[],MATCH(B8,Tb_Fuel[Year],0),HLOOKUP(Compression!$E$14&amp;" - Gas",'Fuel Data'!$BB$2:$BX$3,2,FALSE)+1)/0.3),INDEX(Tb_Fuel[],MATCH(B8,Tb_Fuel[Year],0),HLOOKUP(Compression!$E$14&amp;" - Grid",'Fuel Data'!$BB$2:$BX$3,2,FALSE)+1)))))</f>
        <v>0.11</v>
      </c>
      <c r="E8" s="766">
        <f>IF(B8=HOME!$A$9,Compression!$D$55,IF(B8&lt;HOME!$A$9,"",IF(B8&gt;Compression!$D$48+HOME!$A$9,"",0)))</f>
        <v>0</v>
      </c>
      <c r="F8" s="766">
        <f>IF(B8=HOME!$A$9,0,IF(B8&lt;HOME!$A$9,"",IF(B8&gt;Compression!$D$48+HOME!$A$9,"",Compression!$D$55*Compression!$D$47)))</f>
        <v>8.1109358178808211E-2</v>
      </c>
      <c r="G8" s="766">
        <f>IF(B8=HOME!$A$9,0,IF(B8&lt;HOME!$A$9,"",IF(B8&gt;Compression!$D$48+HOME!$A$9,"",D8/10^6*Compression!$D$61*1000)))</f>
        <v>0.35569907720445754</v>
      </c>
      <c r="H8" s="767">
        <f>IF(B8=HOME!$A$9,SUM(E8:G8),IF(B8&lt;HOME!$A$9,"",IF(B8&gt;Compression!$D$48+HOME!$A$9,"",SUM(E8:G8))))</f>
        <v>0.43680843538326575</v>
      </c>
      <c r="I8" s="767">
        <f>IF(B8=HOME!$A$9,G8/(1+Compression!$D$49)^'CFA Compression'!C8,IF(B8&lt;HOME!$A$9,"",IF(B8&gt;Compression!$D$48+HOME!$A$9,"",G8/(1+Compression!$D$49)^'CFA Compression'!C8)))</f>
        <v>0.28059515773972382</v>
      </c>
      <c r="J8" s="767">
        <f>IF(B8=HOME!$A$9,H8/(1+Compression!$D$49)^'CFA Compression'!C8,IF(B8&lt;HOME!$A$9,"",IF(B8&gt;Compression!$D$48+HOME!$A$9,"",H8/(1+Compression!$D$49)^'CFA Compression'!C8)))</f>
        <v>0.34457871747009816</v>
      </c>
      <c r="K8" s="768">
        <f>IF(B8=HOME!$A$9,0,IF(B8&lt;HOME!$A$9,"",IF(B8&gt;Compression!$D$48+HOME!$A$9,"",Compression!$D$62)))</f>
        <v>3146.6875000000005</v>
      </c>
      <c r="L8" s="769">
        <f>IF(B8=HOME!$A$9,0,IF(B8&lt;HOME!$A$9,"",IF(B8&gt;Compression!$D$48+HOME!$A$9,"",K8/(1+Compression!$D$49)^'CFA Compression'!C8)))</f>
        <v>2482.2816026385026</v>
      </c>
      <c r="N8" s="88"/>
    </row>
    <row r="9" spans="1:14">
      <c r="B9" s="764">
        <v>2027</v>
      </c>
      <c r="C9" s="765">
        <f>IF(B9=HOME!$A$9,B9-HOME!$A$9,IF(B9&lt;HOME!$A$9,"",IF(B9&gt;HOME!$A$9+Compression!$D$48,"",B9-HOME!$A$9)))</f>
        <v>5</v>
      </c>
      <c r="D9" s="766" cm="1">
        <f t="array" ref="D9">IF(B9=HOME!$A$9,0,IF(B9&lt;HOME!$A$9,"",IF(B9&gt;Compression!$D$48+HOME!$A$9,"",IF(Compression!$E$11='List DB'!$Q$11,IF(HOME!$B$64="Electrolysis",IF(HOME!$B$65="Grid",INDEX(Tb_Fuel[],MATCH(B9,Tb_Fuel[Year],0),HLOOKUP(Compression!$E$14&amp;" - Grid",'Fuel Data'!$BB$2:$BX$3,2,FALSE)+1),INDEX(Tb_LCOE[],MATCH(HOME!$A$9,Tb_LCOE[Year],0),HLOOKUP("LCOE"&amp;HOME!$B$65,LCOE!$B$3:$G$4,2,FALSE)+1)/1000),INDEX(Tb_Fuel[],MATCH(B9,Tb_Fuel[Year],0),HLOOKUP(Compression!$E$14&amp;" - Gas",'Fuel Data'!$BB$2:$BX$3,2,FALSE)+1)/0.3),INDEX(Tb_Fuel[],MATCH(B9,Tb_Fuel[Year],0),HLOOKUP(Compression!$E$14&amp;" - Grid",'Fuel Data'!$BB$2:$BX$3,2,FALSE)+1)))))</f>
        <v>0.11</v>
      </c>
      <c r="E9" s="766">
        <f>IF(B9=HOME!$A$9,Compression!$D$55,IF(B9&lt;HOME!$A$9,"",IF(B9&gt;Compression!$D$48+HOME!$A$9,"",0)))</f>
        <v>0</v>
      </c>
      <c r="F9" s="766">
        <f>IF(B9=HOME!$A$9,0,IF(B9&lt;HOME!$A$9,"",IF(B9&gt;Compression!$D$48+HOME!$A$9,"",Compression!$D$55*Compression!$D$47)))</f>
        <v>8.1109358178808211E-2</v>
      </c>
      <c r="G9" s="766">
        <f>IF(B9=HOME!$A$9,0,IF(B9&lt;HOME!$A$9,"",IF(B9&gt;Compression!$D$48+HOME!$A$9,"",D9/10^6*Compression!$D$61*1000)))</f>
        <v>0.35569907720445754</v>
      </c>
      <c r="H9" s="767">
        <f>IF(B9=HOME!$A$9,SUM(E9:G9),IF(B9&lt;HOME!$A$9,"",IF(B9&gt;Compression!$D$48+HOME!$A$9,"",SUM(E9:G9))))</f>
        <v>0.43680843538326575</v>
      </c>
      <c r="I9" s="767">
        <f>IF(B9=HOME!$A$9,G9/(1+Compression!$D$49)^'CFA Compression'!C9,IF(B9&lt;HOME!$A$9,"",IF(B9&gt;Compression!$D$48+HOME!$A$9,"",G9/(1+Compression!$D$49)^'CFA Compression'!C9)))</f>
        <v>0.26444145039484662</v>
      </c>
      <c r="J9" s="767">
        <f>IF(B9=HOME!$A$9,H9/(1+Compression!$D$49)^'CFA Compression'!C9,IF(B9&lt;HOME!$A$9,"",IF(B9&gt;Compression!$D$48+HOME!$A$9,"",H9/(1+Compression!$D$49)^'CFA Compression'!C9)))</f>
        <v>0.32474151213796537</v>
      </c>
      <c r="K9" s="768">
        <f>IF(B9=HOME!$A$9,0,IF(B9&lt;HOME!$A$9,"",IF(B9&gt;Compression!$D$48+HOME!$A$9,"",Compression!$D$62)))</f>
        <v>3146.6875000000005</v>
      </c>
      <c r="L9" s="769">
        <f>IF(B9=HOME!$A$9,0,IF(B9&lt;HOME!$A$9,"",IF(B9&gt;Compression!$D$48+HOME!$A$9,"",K9/(1+Compression!$D$49)^'CFA Compression'!C9)))</f>
        <v>2339.3780298199385</v>
      </c>
      <c r="N9" s="88"/>
    </row>
    <row r="10" spans="1:14">
      <c r="B10" s="764">
        <v>2028</v>
      </c>
      <c r="C10" s="765">
        <f>IF(B10=HOME!$A$9,B10-HOME!$A$9,IF(B10&lt;HOME!$A$9,"",IF(B10&gt;HOME!$A$9+Compression!$D$48,"",B10-HOME!$A$9)))</f>
        <v>6</v>
      </c>
      <c r="D10" s="766" cm="1">
        <f t="array" ref="D10">IF(B10=HOME!$A$9,0,IF(B10&lt;HOME!$A$9,"",IF(B10&gt;Compression!$D$48+HOME!$A$9,"",IF(Compression!$E$11='List DB'!$Q$11,IF(HOME!$B$64="Electrolysis",IF(HOME!$B$65="Grid",INDEX(Tb_Fuel[],MATCH(B10,Tb_Fuel[Year],0),HLOOKUP(Compression!$E$14&amp;" - Grid",'Fuel Data'!$BB$2:$BX$3,2,FALSE)+1),INDEX(Tb_LCOE[],MATCH(HOME!$A$9,Tb_LCOE[Year],0),HLOOKUP("LCOE"&amp;HOME!$B$65,LCOE!$B$3:$G$4,2,FALSE)+1)/1000),INDEX(Tb_Fuel[],MATCH(B10,Tb_Fuel[Year],0),HLOOKUP(Compression!$E$14&amp;" - Gas",'Fuel Data'!$BB$2:$BX$3,2,FALSE)+1)/0.3),INDEX(Tb_Fuel[],MATCH(B10,Tb_Fuel[Year],0),HLOOKUP(Compression!$E$14&amp;" - Grid",'Fuel Data'!$BB$2:$BX$3,2,FALSE)+1)))))</f>
        <v>0.11</v>
      </c>
      <c r="E10" s="766">
        <f>IF(B10=HOME!$A$9,Compression!$D$55,IF(B10&lt;HOME!$A$9,"",IF(B10&gt;Compression!$D$48+HOME!$A$9,"",0)))</f>
        <v>0</v>
      </c>
      <c r="F10" s="766">
        <f>IF(B10=HOME!$A$9,0,IF(B10&lt;HOME!$A$9,"",IF(B10&gt;Compression!$D$48+HOME!$A$9,"",Compression!$D$55*Compression!$D$47)))</f>
        <v>8.1109358178808211E-2</v>
      </c>
      <c r="G10" s="766">
        <f>IF(B10=HOME!$A$9,0,IF(B10&lt;HOME!$A$9,"",IF(B10&gt;Compression!$D$48+HOME!$A$9,"",D10/10^6*Compression!$D$61*1000)))</f>
        <v>0.35569907720445754</v>
      </c>
      <c r="H10" s="767">
        <f>IF(B10=HOME!$A$9,SUM(E10:G10),IF(B10&lt;HOME!$A$9,"",IF(B10&gt;Compression!$D$48+HOME!$A$9,"",SUM(E10:G10))))</f>
        <v>0.43680843538326575</v>
      </c>
      <c r="I10" s="767">
        <f>IF(B10=HOME!$A$9,G10/(1+Compression!$D$49)^'CFA Compression'!C10,IF(B10&lt;HOME!$A$9,"",IF(B10&gt;Compression!$D$48+HOME!$A$9,"",G10/(1+Compression!$D$49)^'CFA Compression'!C10)))</f>
        <v>0.24921770300753215</v>
      </c>
      <c r="J10" s="767">
        <f>IF(B10=HOME!$A$9,H10/(1+Compression!$D$49)^'CFA Compression'!C10,IF(B10&lt;HOME!$A$9,"",IF(B10&gt;Compression!$D$48+HOME!$A$9,"",H10/(1+Compression!$D$49)^'CFA Compression'!C10)))</f>
        <v>0.30604632369613388</v>
      </c>
      <c r="K10" s="768">
        <f>IF(B10=HOME!$A$9,0,IF(B10&lt;HOME!$A$9,"",IF(B10&gt;Compression!$D$48+HOME!$A$9,"",Compression!$D$62)))</f>
        <v>3146.6875000000005</v>
      </c>
      <c r="L10" s="769">
        <f>IF(B10=HOME!$A$9,0,IF(B10&lt;HOME!$A$9,"",IF(B10&gt;Compression!$D$48+HOME!$A$9,"",K10/(1+Compression!$D$49)^'CFA Compression'!C10)))</f>
        <v>2204.7013362976654</v>
      </c>
      <c r="N10" s="88"/>
    </row>
    <row r="11" spans="1:14">
      <c r="B11" s="764">
        <v>2029</v>
      </c>
      <c r="C11" s="765">
        <f>IF(B11=HOME!$A$9,B11-HOME!$A$9,IF(B11&lt;HOME!$A$9,"",IF(B11&gt;HOME!$A$9+Compression!$D$48,"",B11-HOME!$A$9)))</f>
        <v>7</v>
      </c>
      <c r="D11" s="766" cm="1">
        <f t="array" ref="D11">IF(B11=HOME!$A$9,0,IF(B11&lt;HOME!$A$9,"",IF(B11&gt;Compression!$D$48+HOME!$A$9,"",IF(Compression!$E$11='List DB'!$Q$11,IF(HOME!$B$64="Electrolysis",IF(HOME!$B$65="Grid",INDEX(Tb_Fuel[],MATCH(B11,Tb_Fuel[Year],0),HLOOKUP(Compression!$E$14&amp;" - Grid",'Fuel Data'!$BB$2:$BX$3,2,FALSE)+1),INDEX(Tb_LCOE[],MATCH(HOME!$A$9,Tb_LCOE[Year],0),HLOOKUP("LCOE"&amp;HOME!$B$65,LCOE!$B$3:$G$4,2,FALSE)+1)/1000),INDEX(Tb_Fuel[],MATCH(B11,Tb_Fuel[Year],0),HLOOKUP(Compression!$E$14&amp;" - Gas",'Fuel Data'!$BB$2:$BX$3,2,FALSE)+1)/0.3),INDEX(Tb_Fuel[],MATCH(B11,Tb_Fuel[Year],0),HLOOKUP(Compression!$E$14&amp;" - Grid",'Fuel Data'!$BB$2:$BX$3,2,FALSE)+1)))))</f>
        <v>0.11</v>
      </c>
      <c r="E11" s="766">
        <f>IF(B11=HOME!$A$9,Compression!$D$55,IF(B11&lt;HOME!$A$9,"",IF(B11&gt;Compression!$D$48+HOME!$A$9,"",0)))</f>
        <v>0</v>
      </c>
      <c r="F11" s="766">
        <f>IF(B11=HOME!$A$9,0,IF(B11&lt;HOME!$A$9,"",IF(B11&gt;Compression!$D$48+HOME!$A$9,"",Compression!$D$55*Compression!$D$47)))</f>
        <v>8.1109358178808211E-2</v>
      </c>
      <c r="G11" s="766">
        <f>IF(B11=HOME!$A$9,0,IF(B11&lt;HOME!$A$9,"",IF(B11&gt;Compression!$D$48+HOME!$A$9,"",D11/10^6*Compression!$D$61*1000)))</f>
        <v>0.35569907720445754</v>
      </c>
      <c r="H11" s="767">
        <f>IF(B11=HOME!$A$9,SUM(E11:G11),IF(B11&lt;HOME!$A$9,"",IF(B11&gt;Compression!$D$48+HOME!$A$9,"",SUM(E11:G11))))</f>
        <v>0.43680843538326575</v>
      </c>
      <c r="I11" s="767">
        <f>IF(B11=HOME!$A$9,G11/(1+Compression!$D$49)^'CFA Compression'!C11,IF(B11&lt;HOME!$A$9,"",IF(B11&gt;Compression!$D$48+HOME!$A$9,"",G11/(1+Compression!$D$49)^'CFA Compression'!C11)))</f>
        <v>0.23487037829966798</v>
      </c>
      <c r="J11" s="767">
        <f>IF(B11=HOME!$A$9,H11/(1+Compression!$D$49)^'CFA Compression'!C11,IF(B11&lt;HOME!$A$9,"",IF(B11&gt;Compression!$D$48+HOME!$A$9,"",H11/(1+Compression!$D$49)^'CFA Compression'!C11)))</f>
        <v>0.28842740686668283</v>
      </c>
      <c r="K11" s="768">
        <f>IF(B11=HOME!$A$9,0,IF(B11&lt;HOME!$A$9,"",IF(B11&gt;Compression!$D$48+HOME!$A$9,"",Compression!$D$62)))</f>
        <v>3146.6875000000005</v>
      </c>
      <c r="L11" s="769">
        <f>IF(B11=HOME!$A$9,0,IF(B11&lt;HOME!$A$9,"",IF(B11&gt;Compression!$D$48+HOME!$A$9,"",K11/(1+Compression!$D$49)^'CFA Compression'!C11)))</f>
        <v>2077.7779052010846</v>
      </c>
      <c r="N11" s="88"/>
    </row>
    <row r="12" spans="1:14">
      <c r="B12" s="764">
        <v>2030</v>
      </c>
      <c r="C12" s="765">
        <f>IF(B12=HOME!$A$9,B12-HOME!$A$9,IF(B12&lt;HOME!$A$9,"",IF(B12&gt;HOME!$A$9+Compression!$D$48,"",B12-HOME!$A$9)))</f>
        <v>8</v>
      </c>
      <c r="D12" s="766" cm="1">
        <f t="array" ref="D12">IF(B12=HOME!$A$9,0,IF(B12&lt;HOME!$A$9,"",IF(B12&gt;Compression!$D$48+HOME!$A$9,"",IF(Compression!$E$11='List DB'!$Q$11,IF(HOME!$B$64="Electrolysis",IF(HOME!$B$65="Grid",INDEX(Tb_Fuel[],MATCH(B12,Tb_Fuel[Year],0),HLOOKUP(Compression!$E$14&amp;" - Grid",'Fuel Data'!$BB$2:$BX$3,2,FALSE)+1),INDEX(Tb_LCOE[],MATCH(HOME!$A$9,Tb_LCOE[Year],0),HLOOKUP("LCOE"&amp;HOME!$B$65,LCOE!$B$3:$G$4,2,FALSE)+1)/1000),INDEX(Tb_Fuel[],MATCH(B12,Tb_Fuel[Year],0),HLOOKUP(Compression!$E$14&amp;" - Gas",'Fuel Data'!$BB$2:$BX$3,2,FALSE)+1)/0.3),INDEX(Tb_Fuel[],MATCH(B12,Tb_Fuel[Year],0),HLOOKUP(Compression!$E$14&amp;" - Grid",'Fuel Data'!$BB$2:$BX$3,2,FALSE)+1)))))</f>
        <v>0.11</v>
      </c>
      <c r="E12" s="766">
        <f>IF(B12=HOME!$A$9,Compression!$D$55,IF(B12&lt;HOME!$A$9,"",IF(B12&gt;Compression!$D$48+HOME!$A$9,"",0)))</f>
        <v>0</v>
      </c>
      <c r="F12" s="766">
        <f>IF(B12=HOME!$A$9,0,IF(B12&lt;HOME!$A$9,"",IF(B12&gt;Compression!$D$48+HOME!$A$9,"",Compression!$D$55*Compression!$D$47)))</f>
        <v>8.1109358178808211E-2</v>
      </c>
      <c r="G12" s="766">
        <f>IF(B12=HOME!$A$9,0,IF(B12&lt;HOME!$A$9,"",IF(B12&gt;Compression!$D$48+HOME!$A$9,"",D12/10^6*Compression!$D$61*1000)))</f>
        <v>0.35569907720445754</v>
      </c>
      <c r="H12" s="767">
        <f>IF(B12=HOME!$A$9,SUM(E12:G12),IF(B12&lt;HOME!$A$9,"",IF(B12&gt;Compression!$D$48+HOME!$A$9,"",SUM(E12:G12))))</f>
        <v>0.43680843538326575</v>
      </c>
      <c r="I12" s="767">
        <f>IF(B12=HOME!$A$9,G12/(1+Compression!$D$49)^'CFA Compression'!C12,IF(B12&lt;HOME!$A$9,"",IF(B12&gt;Compression!$D$48+HOME!$A$9,"",G12/(1+Compression!$D$49)^'CFA Compression'!C12)))</f>
        <v>0.22134902110449955</v>
      </c>
      <c r="J12" s="767">
        <f>IF(B12=HOME!$A$9,H12/(1+Compression!$D$49)^'CFA Compression'!C12,IF(B12&lt;HOME!$A$9,"",IF(B12&gt;Compression!$D$48+HOME!$A$9,"",H12/(1+Compression!$D$49)^'CFA Compression'!C12)))</f>
        <v>0.2718228012908161</v>
      </c>
      <c r="K12" s="768">
        <f>IF(B12=HOME!$A$9,0,IF(B12&lt;HOME!$A$9,"",IF(B12&gt;Compression!$D$48+HOME!$A$9,"",Compression!$D$62)))</f>
        <v>3146.6875000000005</v>
      </c>
      <c r="L12" s="769">
        <f>IF(B12=HOME!$A$9,0,IF(B12&lt;HOME!$A$9,"",IF(B12&gt;Compression!$D$48+HOME!$A$9,"",K12/(1+Compression!$D$49)^'CFA Compression'!C12)))</f>
        <v>1958.1613855197161</v>
      </c>
      <c r="N12" s="88"/>
    </row>
    <row r="13" spans="1:14">
      <c r="B13" s="764">
        <v>2031</v>
      </c>
      <c r="C13" s="765">
        <f>IF(B13=HOME!$A$9,B13-HOME!$A$9,IF(B13&lt;HOME!$A$9,"",IF(B13&gt;HOME!$A$9+Compression!$D$48,"",B13-HOME!$A$9)))</f>
        <v>9</v>
      </c>
      <c r="D13" s="766" cm="1">
        <f t="array" ref="D13">IF(B13=HOME!$A$9,0,IF(B13&lt;HOME!$A$9,"",IF(B13&gt;Compression!$D$48+HOME!$A$9,"",IF(Compression!$E$11='List DB'!$Q$11,IF(HOME!$B$64="Electrolysis",IF(HOME!$B$65="Grid",INDEX(Tb_Fuel[],MATCH(B13,Tb_Fuel[Year],0),HLOOKUP(Compression!$E$14&amp;" - Grid",'Fuel Data'!$BB$2:$BX$3,2,FALSE)+1),INDEX(Tb_LCOE[],MATCH(HOME!$A$9,Tb_LCOE[Year],0),HLOOKUP("LCOE"&amp;HOME!$B$65,LCOE!$B$3:$G$4,2,FALSE)+1)/1000),INDEX(Tb_Fuel[],MATCH(B13,Tb_Fuel[Year],0),HLOOKUP(Compression!$E$14&amp;" - Gas",'Fuel Data'!$BB$2:$BX$3,2,FALSE)+1)/0.3),INDEX(Tb_Fuel[],MATCH(B13,Tb_Fuel[Year],0),HLOOKUP(Compression!$E$14&amp;" - Grid",'Fuel Data'!$BB$2:$BX$3,2,FALSE)+1)))))</f>
        <v>0.11</v>
      </c>
      <c r="E13" s="766">
        <f>IF(B13=HOME!$A$9,Compression!$D$55,IF(B13&lt;HOME!$A$9,"",IF(B13&gt;Compression!$D$48+HOME!$A$9,"",0)))</f>
        <v>0</v>
      </c>
      <c r="F13" s="766">
        <f>IF(B13=HOME!$A$9,0,IF(B13&lt;HOME!$A$9,"",IF(B13&gt;Compression!$D$48+HOME!$A$9,"",Compression!$D$55*Compression!$D$47)))</f>
        <v>8.1109358178808211E-2</v>
      </c>
      <c r="G13" s="766">
        <f>IF(B13=HOME!$A$9,0,IF(B13&lt;HOME!$A$9,"",IF(B13&gt;Compression!$D$48+HOME!$A$9,"",D13/10^6*Compression!$D$61*1000)))</f>
        <v>0.35569907720445754</v>
      </c>
      <c r="H13" s="767">
        <f>IF(B13=HOME!$A$9,SUM(E13:G13),IF(B13&lt;HOME!$A$9,"",IF(B13&gt;Compression!$D$48+HOME!$A$9,"",SUM(E13:G13))))</f>
        <v>0.43680843538326575</v>
      </c>
      <c r="I13" s="767">
        <f>IF(B13=HOME!$A$9,G13/(1+Compression!$D$49)^'CFA Compression'!C13,IF(B13&lt;HOME!$A$9,"",IF(B13&gt;Compression!$D$48+HOME!$A$9,"",G13/(1+Compression!$D$49)^'CFA Compression'!C13)))</f>
        <v>0.20860608093119187</v>
      </c>
      <c r="J13" s="767">
        <f>IF(B13=HOME!$A$9,H13/(1+Compression!$D$49)^'CFA Compression'!C13,IF(B13&lt;HOME!$A$9,"",IF(B13&gt;Compression!$D$48+HOME!$A$9,"",H13/(1+Compression!$D$49)^'CFA Compression'!C13)))</f>
        <v>0.25617411363317116</v>
      </c>
      <c r="K13" s="768">
        <f>IF(B13=HOME!$A$9,0,IF(B13&lt;HOME!$A$9,"",IF(B13&gt;Compression!$D$48+HOME!$A$9,"",Compression!$D$62)))</f>
        <v>3146.6875000000005</v>
      </c>
      <c r="L13" s="769">
        <f>IF(B13=HOME!$A$9,0,IF(B13&lt;HOME!$A$9,"",IF(B13&gt;Compression!$D$48+HOME!$A$9,"",K13/(1+Compression!$D$49)^'CFA Compression'!C13)))</f>
        <v>1845.4311224227822</v>
      </c>
      <c r="N13" s="88"/>
    </row>
    <row r="14" spans="1:14">
      <c r="B14" s="764">
        <v>2032</v>
      </c>
      <c r="C14" s="765">
        <f>IF(B14=HOME!$A$9,B14-HOME!$A$9,IF(B14&lt;HOME!$A$9,"",IF(B14&gt;HOME!$A$9+Compression!$D$48,"",B14-HOME!$A$9)))</f>
        <v>10</v>
      </c>
      <c r="D14" s="766" cm="1">
        <f t="array" ref="D14">IF(B14=HOME!$A$9,0,IF(B14&lt;HOME!$A$9,"",IF(B14&gt;Compression!$D$48+HOME!$A$9,"",IF(Compression!$E$11='List DB'!$Q$11,IF(HOME!$B$64="Electrolysis",IF(HOME!$B$65="Grid",INDEX(Tb_Fuel[],MATCH(B14,Tb_Fuel[Year],0),HLOOKUP(Compression!$E$14&amp;" - Grid",'Fuel Data'!$BB$2:$BX$3,2,FALSE)+1),INDEX(Tb_LCOE[],MATCH(HOME!$A$9,Tb_LCOE[Year],0),HLOOKUP("LCOE"&amp;HOME!$B$65,LCOE!$B$3:$G$4,2,FALSE)+1)/1000),INDEX(Tb_Fuel[],MATCH(B14,Tb_Fuel[Year],0),HLOOKUP(Compression!$E$14&amp;" - Gas",'Fuel Data'!$BB$2:$BX$3,2,FALSE)+1)/0.3),INDEX(Tb_Fuel[],MATCH(B14,Tb_Fuel[Year],0),HLOOKUP(Compression!$E$14&amp;" - Grid",'Fuel Data'!$BB$2:$BX$3,2,FALSE)+1)))))</f>
        <v>0.11</v>
      </c>
      <c r="E14" s="766">
        <f>IF(B14=HOME!$A$9,Compression!$D$55,IF(B14&lt;HOME!$A$9,"",IF(B14&gt;Compression!$D$48+HOME!$A$9,"",0)))</f>
        <v>0</v>
      </c>
      <c r="F14" s="766">
        <f>IF(B14=HOME!$A$9,0,IF(B14&lt;HOME!$A$9,"",IF(B14&gt;Compression!$D$48+HOME!$A$9,"",Compression!$D$55*Compression!$D$47)))</f>
        <v>8.1109358178808211E-2</v>
      </c>
      <c r="G14" s="766">
        <f>IF(B14=HOME!$A$9,0,IF(B14&lt;HOME!$A$9,"",IF(B14&gt;Compression!$D$48+HOME!$A$9,"",D14/10^6*Compression!$D$61*1000)))</f>
        <v>0.35569907720445754</v>
      </c>
      <c r="H14" s="767">
        <f>IF(B14=HOME!$A$9,SUM(E14:G14),IF(B14&lt;HOME!$A$9,"",IF(B14&gt;Compression!$D$48+HOME!$A$9,"",SUM(E14:G14))))</f>
        <v>0.43680843538326575</v>
      </c>
      <c r="I14" s="767">
        <f>IF(B14=HOME!$A$9,G14/(1+Compression!$D$49)^'CFA Compression'!C14,IF(B14&lt;HOME!$A$9,"",IF(B14&gt;Compression!$D$48+HOME!$A$9,"",G14/(1+Compression!$D$49)^'CFA Compression'!C14)))</f>
        <v>0.19659674474425035</v>
      </c>
      <c r="J14" s="767">
        <f>IF(B14=HOME!$A$9,H14/(1+Compression!$D$49)^'CFA Compression'!C14,IF(B14&lt;HOME!$A$9,"",IF(B14&gt;Compression!$D$48+HOME!$A$9,"",H14/(1+Compression!$D$49)^'CFA Compression'!C14)))</f>
        <v>0.24142631223026151</v>
      </c>
      <c r="K14" s="768">
        <f>IF(B14=HOME!$A$9,0,IF(B14&lt;HOME!$A$9,"",IF(B14&gt;Compression!$D$48+HOME!$A$9,"",Compression!$D$62)))</f>
        <v>3146.6875000000005</v>
      </c>
      <c r="L14" s="769">
        <f>IF(B14=HOME!$A$9,0,IF(B14&lt;HOME!$A$9,"",IF(B14&gt;Compression!$D$48+HOME!$A$9,"",K14/(1+Compression!$D$49)^'CFA Compression'!C14)))</f>
        <v>1739.190677944415</v>
      </c>
      <c r="N14" s="88"/>
    </row>
    <row r="15" spans="1:14">
      <c r="B15" s="764">
        <v>2033</v>
      </c>
      <c r="C15" s="765">
        <f>IF(B15=HOME!$A$9,B15-HOME!$A$9,IF(B15&lt;HOME!$A$9,"",IF(B15&gt;HOME!$A$9+Compression!$D$48,"",B15-HOME!$A$9)))</f>
        <v>11</v>
      </c>
      <c r="D15" s="766" cm="1">
        <f t="array" ref="D15">IF(B15=HOME!$A$9,0,IF(B15&lt;HOME!$A$9,"",IF(B15&gt;Compression!$D$48+HOME!$A$9,"",IF(Compression!$E$11='List DB'!$Q$11,IF(HOME!$B$64="Electrolysis",IF(HOME!$B$65="Grid",INDEX(Tb_Fuel[],MATCH(B15,Tb_Fuel[Year],0),HLOOKUP(Compression!$E$14&amp;" - Grid",'Fuel Data'!$BB$2:$BX$3,2,FALSE)+1),INDEX(Tb_LCOE[],MATCH(HOME!$A$9,Tb_LCOE[Year],0),HLOOKUP("LCOE"&amp;HOME!$B$65,LCOE!$B$3:$G$4,2,FALSE)+1)/1000),INDEX(Tb_Fuel[],MATCH(B15,Tb_Fuel[Year],0),HLOOKUP(Compression!$E$14&amp;" - Gas",'Fuel Data'!$BB$2:$BX$3,2,FALSE)+1)/0.3),INDEX(Tb_Fuel[],MATCH(B15,Tb_Fuel[Year],0),HLOOKUP(Compression!$E$14&amp;" - Grid",'Fuel Data'!$BB$2:$BX$3,2,FALSE)+1)))))</f>
        <v>0.11</v>
      </c>
      <c r="E15" s="766">
        <f>IF(B15=HOME!$A$9,Compression!$D$55,IF(B15&lt;HOME!$A$9,"",IF(B15&gt;Compression!$D$48+HOME!$A$9,"",0)))</f>
        <v>0</v>
      </c>
      <c r="F15" s="766">
        <f>IF(B15=HOME!$A$9,0,IF(B15&lt;HOME!$A$9,"",IF(B15&gt;Compression!$D$48+HOME!$A$9,"",Compression!$D$55*Compression!$D$47)))</f>
        <v>8.1109358178808211E-2</v>
      </c>
      <c r="G15" s="766">
        <f>IF(B15=HOME!$A$9,0,IF(B15&lt;HOME!$A$9,"",IF(B15&gt;Compression!$D$48+HOME!$A$9,"",D15/10^6*Compression!$D$61*1000)))</f>
        <v>0.35569907720445754</v>
      </c>
      <c r="H15" s="767">
        <f>IF(B15=HOME!$A$9,SUM(E15:G15),IF(B15&lt;HOME!$A$9,"",IF(B15&gt;Compression!$D$48+HOME!$A$9,"",SUM(E15:G15))))</f>
        <v>0.43680843538326575</v>
      </c>
      <c r="I15" s="767">
        <f>IF(B15=HOME!$A$9,G15/(1+Compression!$D$49)^'CFA Compression'!C15,IF(B15&lt;HOME!$A$9,"",IF(B15&gt;Compression!$D$48+HOME!$A$9,"",G15/(1+Compression!$D$49)^'CFA Compression'!C15)))</f>
        <v>0.18527877936973755</v>
      </c>
      <c r="J15" s="767">
        <f>IF(B15=HOME!$A$9,H15/(1+Compression!$D$49)^'CFA Compression'!C15,IF(B15&lt;HOME!$A$9,"",IF(B15&gt;Compression!$D$48+HOME!$A$9,"",H15/(1+Compression!$D$49)^'CFA Compression'!C15)))</f>
        <v>0.22752753356089434</v>
      </c>
      <c r="K15" s="768">
        <f>IF(B15=HOME!$A$9,0,IF(B15&lt;HOME!$A$9,"",IF(B15&gt;Compression!$D$48+HOME!$A$9,"",Compression!$D$62)))</f>
        <v>3146.6875000000005</v>
      </c>
      <c r="L15" s="769">
        <f>IF(B15=HOME!$A$9,0,IF(B15&lt;HOME!$A$9,"",IF(B15&gt;Compression!$D$48+HOME!$A$9,"",K15/(1+Compression!$D$49)^'CFA Compression'!C15)))</f>
        <v>1639.066436832198</v>
      </c>
      <c r="N15" s="88"/>
    </row>
    <row r="16" spans="1:14">
      <c r="B16" s="764">
        <v>2034</v>
      </c>
      <c r="C16" s="765">
        <f>IF(B16=HOME!$A$9,B16-HOME!$A$9,IF(B16&lt;HOME!$A$9,"",IF(B16&gt;HOME!$A$9+Compression!$D$48,"",B16-HOME!$A$9)))</f>
        <v>12</v>
      </c>
      <c r="D16" s="766" cm="1">
        <f t="array" ref="D16">IF(B16=HOME!$A$9,0,IF(B16&lt;HOME!$A$9,"",IF(B16&gt;Compression!$D$48+HOME!$A$9,"",IF(Compression!$E$11='List DB'!$Q$11,IF(HOME!$B$64="Electrolysis",IF(HOME!$B$65="Grid",INDEX(Tb_Fuel[],MATCH(B16,Tb_Fuel[Year],0),HLOOKUP(Compression!$E$14&amp;" - Grid",'Fuel Data'!$BB$2:$BX$3,2,FALSE)+1),INDEX(Tb_LCOE[],MATCH(HOME!$A$9,Tb_LCOE[Year],0),HLOOKUP("LCOE"&amp;HOME!$B$65,LCOE!$B$3:$G$4,2,FALSE)+1)/1000),INDEX(Tb_Fuel[],MATCH(B16,Tb_Fuel[Year],0),HLOOKUP(Compression!$E$14&amp;" - Gas",'Fuel Data'!$BB$2:$BX$3,2,FALSE)+1)/0.3),INDEX(Tb_Fuel[],MATCH(B16,Tb_Fuel[Year],0),HLOOKUP(Compression!$E$14&amp;" - Grid",'Fuel Data'!$BB$2:$BX$3,2,FALSE)+1)))))</f>
        <v>0.11</v>
      </c>
      <c r="E16" s="766">
        <f>IF(B16=HOME!$A$9,Compression!$D$55,IF(B16&lt;HOME!$A$9,"",IF(B16&gt;Compression!$D$48+HOME!$A$9,"",0)))</f>
        <v>0</v>
      </c>
      <c r="F16" s="766">
        <f>IF(B16=HOME!$A$9,0,IF(B16&lt;HOME!$A$9,"",IF(B16&gt;Compression!$D$48+HOME!$A$9,"",Compression!$D$55*Compression!$D$47)))</f>
        <v>8.1109358178808211E-2</v>
      </c>
      <c r="G16" s="766">
        <f>IF(B16=HOME!$A$9,0,IF(B16&lt;HOME!$A$9,"",IF(B16&gt;Compression!$D$48+HOME!$A$9,"",D16/10^6*Compression!$D$61*1000)))</f>
        <v>0.35569907720445754</v>
      </c>
      <c r="H16" s="767">
        <f>IF(B16=HOME!$A$9,SUM(E16:G16),IF(B16&lt;HOME!$A$9,"",IF(B16&gt;Compression!$D$48+HOME!$A$9,"",SUM(E16:G16))))</f>
        <v>0.43680843538326575</v>
      </c>
      <c r="I16" s="767">
        <f>IF(B16=HOME!$A$9,G16/(1+Compression!$D$49)^'CFA Compression'!C16,IF(B16&lt;HOME!$A$9,"",IF(B16&gt;Compression!$D$48+HOME!$A$9,"",G16/(1+Compression!$D$49)^'CFA Compression'!C16)))</f>
        <v>0.17461238297407697</v>
      </c>
      <c r="J16" s="767">
        <f>IF(B16=HOME!$A$9,H16/(1+Compression!$D$49)^'CFA Compression'!C16,IF(B16&lt;HOME!$A$9,"",IF(B16&gt;Compression!$D$48+HOME!$A$9,"",H16/(1+Compression!$D$49)^'CFA Compression'!C16)))</f>
        <v>0.21442889985797897</v>
      </c>
      <c r="K16" s="768">
        <f>IF(B16=HOME!$A$9,0,IF(B16&lt;HOME!$A$9,"",IF(B16&gt;Compression!$D$48+HOME!$A$9,"",Compression!$D$62)))</f>
        <v>3146.6875000000005</v>
      </c>
      <c r="L16" s="769">
        <f>IF(B16=HOME!$A$9,0,IF(B16&lt;HOME!$A$9,"",IF(B16&gt;Compression!$D$48+HOME!$A$9,"",K16/(1+Compression!$D$49)^'CFA Compression'!C16)))</f>
        <v>1544.7062926562332</v>
      </c>
      <c r="N16" s="88"/>
    </row>
    <row r="17" spans="2:14">
      <c r="B17" s="764">
        <v>2035</v>
      </c>
      <c r="C17" s="765">
        <f>IF(B17=HOME!$A$9,B17-HOME!$A$9,IF(B17&lt;HOME!$A$9,"",IF(B17&gt;HOME!$A$9+Compression!$D$48,"",B17-HOME!$A$9)))</f>
        <v>13</v>
      </c>
      <c r="D17" s="766" cm="1">
        <f t="array" ref="D17">IF(B17=HOME!$A$9,0,IF(B17&lt;HOME!$A$9,"",IF(B17&gt;Compression!$D$48+HOME!$A$9,"",IF(Compression!$E$11='List DB'!$Q$11,IF(HOME!$B$64="Electrolysis",IF(HOME!$B$65="Grid",INDEX(Tb_Fuel[],MATCH(B17,Tb_Fuel[Year],0),HLOOKUP(Compression!$E$14&amp;" - Grid",'Fuel Data'!$BB$2:$BX$3,2,FALSE)+1),INDEX(Tb_LCOE[],MATCH(HOME!$A$9,Tb_LCOE[Year],0),HLOOKUP("LCOE"&amp;HOME!$B$65,LCOE!$B$3:$G$4,2,FALSE)+1)/1000),INDEX(Tb_Fuel[],MATCH(B17,Tb_Fuel[Year],0),HLOOKUP(Compression!$E$14&amp;" - Gas",'Fuel Data'!$BB$2:$BX$3,2,FALSE)+1)/0.3),INDEX(Tb_Fuel[],MATCH(B17,Tb_Fuel[Year],0),HLOOKUP(Compression!$E$14&amp;" - Grid",'Fuel Data'!$BB$2:$BX$3,2,FALSE)+1)))))</f>
        <v>0.11</v>
      </c>
      <c r="E17" s="766">
        <f>IF(B17=HOME!$A$9,Compression!$D$55,IF(B17&lt;HOME!$A$9,"",IF(B17&gt;Compression!$D$48+HOME!$A$9,"",0)))</f>
        <v>0</v>
      </c>
      <c r="F17" s="766">
        <f>IF(B17=HOME!$A$9,0,IF(B17&lt;HOME!$A$9,"",IF(B17&gt;Compression!$D$48+HOME!$A$9,"",Compression!$D$55*Compression!$D$47)))</f>
        <v>8.1109358178808211E-2</v>
      </c>
      <c r="G17" s="766">
        <f>IF(B17=HOME!$A$9,0,IF(B17&lt;HOME!$A$9,"",IF(B17&gt;Compression!$D$48+HOME!$A$9,"",D17/10^6*Compression!$D$61*1000)))</f>
        <v>0.35569907720445754</v>
      </c>
      <c r="H17" s="767">
        <f>IF(B17=HOME!$A$9,SUM(E17:G17),IF(B17&lt;HOME!$A$9,"",IF(B17&gt;Compression!$D$48+HOME!$A$9,"",SUM(E17:G17))))</f>
        <v>0.43680843538326575</v>
      </c>
      <c r="I17" s="767">
        <f>IF(B17=HOME!$A$9,G17/(1+Compression!$D$49)^'CFA Compression'!C17,IF(B17&lt;HOME!$A$9,"",IF(B17&gt;Compression!$D$48+HOME!$A$9,"",G17/(1+Compression!$D$49)^'CFA Compression'!C17)))</f>
        <v>0.16456004509313876</v>
      </c>
      <c r="J17" s="767">
        <f>IF(B17=HOME!$A$9,H17/(1+Compression!$D$49)^'CFA Compression'!C17,IF(B17&lt;HOME!$A$9,"",IF(B17&gt;Compression!$D$48+HOME!$A$9,"",H17/(1+Compression!$D$49)^'CFA Compression'!C17)))</f>
        <v>0.20208434722032168</v>
      </c>
      <c r="K17" s="768">
        <f>IF(B17=HOME!$A$9,0,IF(B17&lt;HOME!$A$9,"",IF(B17&gt;Compression!$D$48+HOME!$A$9,"",Compression!$D$62)))</f>
        <v>3146.6875000000005</v>
      </c>
      <c r="L17" s="769">
        <f>IF(B17=HOME!$A$9,0,IF(B17&lt;HOME!$A$9,"",IF(B17&gt;Compression!$D$48+HOME!$A$9,"",K17/(1+Compression!$D$49)^'CFA Compression'!C17)))</f>
        <v>1455.7784095581762</v>
      </c>
      <c r="N17" s="88"/>
    </row>
    <row r="18" spans="2:14">
      <c r="B18" s="764">
        <v>2036</v>
      </c>
      <c r="C18" s="765">
        <f>IF(B18=HOME!$A$9,B18-HOME!$A$9,IF(B18&lt;HOME!$A$9,"",IF(B18&gt;HOME!$A$9+Compression!$D$48,"",B18-HOME!$A$9)))</f>
        <v>14</v>
      </c>
      <c r="D18" s="766" cm="1">
        <f t="array" ref="D18">IF(B18=HOME!$A$9,0,IF(B18&lt;HOME!$A$9,"",IF(B18&gt;Compression!$D$48+HOME!$A$9,"",IF(Compression!$E$11='List DB'!$Q$11,IF(HOME!$B$64="Electrolysis",IF(HOME!$B$65="Grid",INDEX(Tb_Fuel[],MATCH(B18,Tb_Fuel[Year],0),HLOOKUP(Compression!$E$14&amp;" - Grid",'Fuel Data'!$BB$2:$BX$3,2,FALSE)+1),INDEX(Tb_LCOE[],MATCH(HOME!$A$9,Tb_LCOE[Year],0),HLOOKUP("LCOE"&amp;HOME!$B$65,LCOE!$B$3:$G$4,2,FALSE)+1)/1000),INDEX(Tb_Fuel[],MATCH(B18,Tb_Fuel[Year],0),HLOOKUP(Compression!$E$14&amp;" - Gas",'Fuel Data'!$BB$2:$BX$3,2,FALSE)+1)/0.3),INDEX(Tb_Fuel[],MATCH(B18,Tb_Fuel[Year],0),HLOOKUP(Compression!$E$14&amp;" - Grid",'Fuel Data'!$BB$2:$BX$3,2,FALSE)+1)))))</f>
        <v>0.11</v>
      </c>
      <c r="E18" s="766">
        <f>IF(B18=HOME!$A$9,Compression!$D$55,IF(B18&lt;HOME!$A$9,"",IF(B18&gt;Compression!$D$48+HOME!$A$9,"",0)))</f>
        <v>0</v>
      </c>
      <c r="F18" s="766">
        <f>IF(B18=HOME!$A$9,0,IF(B18&lt;HOME!$A$9,"",IF(B18&gt;Compression!$D$48+HOME!$A$9,"",Compression!$D$55*Compression!$D$47)))</f>
        <v>8.1109358178808211E-2</v>
      </c>
      <c r="G18" s="766">
        <f>IF(B18=HOME!$A$9,0,IF(B18&lt;HOME!$A$9,"",IF(B18&gt;Compression!$D$48+HOME!$A$9,"",D18/10^6*Compression!$D$61*1000)))</f>
        <v>0.35569907720445754</v>
      </c>
      <c r="H18" s="767">
        <f>IF(B18=HOME!$A$9,SUM(E18:G18),IF(B18&lt;HOME!$A$9,"",IF(B18&gt;Compression!$D$48+HOME!$A$9,"",SUM(E18:G18))))</f>
        <v>0.43680843538326575</v>
      </c>
      <c r="I18" s="767">
        <f>IF(B18=HOME!$A$9,G18/(1+Compression!$D$49)^'CFA Compression'!C18,IF(B18&lt;HOME!$A$9,"",IF(B18&gt;Compression!$D$48+HOME!$A$9,"",G18/(1+Compression!$D$49)^'CFA Compression'!C18)))</f>
        <v>0.15508641471937401</v>
      </c>
      <c r="J18" s="767">
        <f>IF(B18=HOME!$A$9,H18/(1+Compression!$D$49)^'CFA Compression'!C18,IF(B18&lt;HOME!$A$9,"",IF(B18&gt;Compression!$D$48+HOME!$A$9,"",H18/(1+Compression!$D$49)^'CFA Compression'!C18)))</f>
        <v>0.19045046361992948</v>
      </c>
      <c r="K18" s="768">
        <f>IF(B18=HOME!$A$9,0,IF(B18&lt;HOME!$A$9,"",IF(B18&gt;Compression!$D$48+HOME!$A$9,"",Compression!$D$62)))</f>
        <v>3146.6875000000005</v>
      </c>
      <c r="L18" s="769">
        <f>IF(B18=HOME!$A$9,0,IF(B18&lt;HOME!$A$9,"",IF(B18&gt;Compression!$D$48+HOME!$A$9,"",K18/(1+Compression!$D$49)^'CFA Compression'!C18)))</f>
        <v>1371.9700552856948</v>
      </c>
      <c r="N18" s="88"/>
    </row>
    <row r="19" spans="2:14">
      <c r="B19" s="764">
        <v>2037</v>
      </c>
      <c r="C19" s="765">
        <f>IF(B19=HOME!$A$9,B19-HOME!$A$9,IF(B19&lt;HOME!$A$9,"",IF(B19&gt;HOME!$A$9+Compression!$D$48,"",B19-HOME!$A$9)))</f>
        <v>15</v>
      </c>
      <c r="D19" s="766" cm="1">
        <f t="array" ref="D19">IF(B19=HOME!$A$9,0,IF(B19&lt;HOME!$A$9,"",IF(B19&gt;Compression!$D$48+HOME!$A$9,"",IF(Compression!$E$11='List DB'!$Q$11,IF(HOME!$B$64="Electrolysis",IF(HOME!$B$65="Grid",INDEX(Tb_Fuel[],MATCH(B19,Tb_Fuel[Year],0),HLOOKUP(Compression!$E$14&amp;" - Grid",'Fuel Data'!$BB$2:$BX$3,2,FALSE)+1),INDEX(Tb_LCOE[],MATCH(HOME!$A$9,Tb_LCOE[Year],0),HLOOKUP("LCOE"&amp;HOME!$B$65,LCOE!$B$3:$G$4,2,FALSE)+1)/1000),INDEX(Tb_Fuel[],MATCH(B19,Tb_Fuel[Year],0),HLOOKUP(Compression!$E$14&amp;" - Gas",'Fuel Data'!$BB$2:$BX$3,2,FALSE)+1)/0.3),INDEX(Tb_Fuel[],MATCH(B19,Tb_Fuel[Year],0),HLOOKUP(Compression!$E$14&amp;" - Grid",'Fuel Data'!$BB$2:$BX$3,2,FALSE)+1)))))</f>
        <v>0.11</v>
      </c>
      <c r="E19" s="766">
        <f>IF(B19=HOME!$A$9,Compression!$D$55,IF(B19&lt;HOME!$A$9,"",IF(B19&gt;Compression!$D$48+HOME!$A$9,"",0)))</f>
        <v>0</v>
      </c>
      <c r="F19" s="766">
        <f>IF(B19=HOME!$A$9,0,IF(B19&lt;HOME!$A$9,"",IF(B19&gt;Compression!$D$48+HOME!$A$9,"",Compression!$D$55*Compression!$D$47)))</f>
        <v>8.1109358178808211E-2</v>
      </c>
      <c r="G19" s="766">
        <f>IF(B19=HOME!$A$9,0,IF(B19&lt;HOME!$A$9,"",IF(B19&gt;Compression!$D$48+HOME!$A$9,"",D19/10^6*Compression!$D$61*1000)))</f>
        <v>0.35569907720445754</v>
      </c>
      <c r="H19" s="767">
        <f>IF(B19=HOME!$A$9,SUM(E19:G19),IF(B19&lt;HOME!$A$9,"",IF(B19&gt;Compression!$D$48+HOME!$A$9,"",SUM(E19:G19))))</f>
        <v>0.43680843538326575</v>
      </c>
      <c r="I19" s="767">
        <f>IF(B19=HOME!$A$9,G19/(1+Compression!$D$49)^'CFA Compression'!C19,IF(B19&lt;HOME!$A$9,"",IF(B19&gt;Compression!$D$48+HOME!$A$9,"",G19/(1+Compression!$D$49)^'CFA Compression'!C19)))</f>
        <v>0.14615817598309894</v>
      </c>
      <c r="J19" s="767">
        <f>IF(B19=HOME!$A$9,H19/(1+Compression!$D$49)^'CFA Compression'!C19,IF(B19&lt;HOME!$A$9,"",IF(B19&gt;Compression!$D$48+HOME!$A$9,"",H19/(1+Compression!$D$49)^'CFA Compression'!C19)))</f>
        <v>0.17948633623514329</v>
      </c>
      <c r="K19" s="768">
        <f>IF(B19=HOME!$A$9,0,IF(B19&lt;HOME!$A$9,"",IF(B19&gt;Compression!$D$48+HOME!$A$9,"",Compression!$D$62)))</f>
        <v>3146.6875000000005</v>
      </c>
      <c r="L19" s="769">
        <f>IF(B19=HOME!$A$9,0,IF(B19&lt;HOME!$A$9,"",IF(B19&gt;Compression!$D$48+HOME!$A$9,"",K19/(1+Compression!$D$49)^'CFA Compression'!C19)))</f>
        <v>1292.9865014084837</v>
      </c>
      <c r="N19" s="88"/>
    </row>
    <row r="20" spans="2:14">
      <c r="B20" s="764">
        <v>2038</v>
      </c>
      <c r="C20" s="765" t="str">
        <f>IF(B20=HOME!$A$9,B20-HOME!$A$9,IF(B20&lt;HOME!$A$9,"",IF(B20&gt;HOME!$A$9+Compression!$D$48,"",B20-HOME!$A$9)))</f>
        <v/>
      </c>
      <c r="D20" s="766" t="str" cm="1">
        <f t="array" ref="D20">IF(B20=HOME!$A$9,0,IF(B20&lt;HOME!$A$9,"",IF(B20&gt;Compression!$D$48+HOME!$A$9,"",IF(Compression!$E$11='List DB'!$Q$11,IF(HOME!$B$64="Electrolysis",IF(HOME!$B$65="Grid",INDEX(Tb_Fuel[],MATCH(B20,Tb_Fuel[Year],0),HLOOKUP(Compression!$E$14&amp;" - Grid",'Fuel Data'!$BB$2:$BX$3,2,FALSE)+1),INDEX(Tb_LCOE[],MATCH(HOME!$A$9,Tb_LCOE[Year],0),HLOOKUP("LCOE"&amp;HOME!$B$65,LCOE!$B$3:$G$4,2,FALSE)+1)/1000),INDEX(Tb_Fuel[],MATCH(B20,Tb_Fuel[Year],0),HLOOKUP(Compression!$E$14&amp;" - Gas",'Fuel Data'!$BB$2:$BX$3,2,FALSE)+1)/0.3),INDEX(Tb_Fuel[],MATCH(B20,Tb_Fuel[Year],0),HLOOKUP(Compression!$E$14&amp;" - Grid",'Fuel Data'!$BB$2:$BX$3,2,FALSE)+1)))))</f>
        <v/>
      </c>
      <c r="E20" s="766" t="str">
        <f>IF(B20=HOME!$A$9,Compression!$D$55,IF(B20&lt;HOME!$A$9,"",IF(B20&gt;Compression!$D$48+HOME!$A$9,"",0)))</f>
        <v/>
      </c>
      <c r="F20" s="766" t="str">
        <f>IF(B20=HOME!$A$9,0,IF(B20&lt;HOME!$A$9,"",IF(B20&gt;Compression!$D$48+HOME!$A$9,"",Compression!$D$55*Compression!$D$47)))</f>
        <v/>
      </c>
      <c r="G20" s="766" t="str">
        <f>IF(B20=HOME!$A$9,0,IF(B20&lt;HOME!$A$9,"",IF(B20&gt;Compression!$D$48+HOME!$A$9,"",D20/10^6*Compression!$D$61*1000)))</f>
        <v/>
      </c>
      <c r="H20" s="767" t="str">
        <f>IF(B20=HOME!$A$9,SUM(E20:G20),IF(B20&lt;HOME!$A$9,"",IF(B20&gt;Compression!$D$48+HOME!$A$9,"",SUM(E20:G20))))</f>
        <v/>
      </c>
      <c r="I20" s="767" t="str">
        <f>IF(B20=HOME!$A$9,G20/(1+Compression!$D$49)^'CFA Compression'!C20,IF(B20&lt;HOME!$A$9,"",IF(B20&gt;Compression!$D$48+HOME!$A$9,"",G20/(1+Compression!$D$49)^'CFA Compression'!C20)))</f>
        <v/>
      </c>
      <c r="J20" s="767" t="str">
        <f>IF(B20=HOME!$A$9,H20/(1+Compression!$D$49)^'CFA Compression'!C20,IF(B20&lt;HOME!$A$9,"",IF(B20&gt;Compression!$D$48+HOME!$A$9,"",H20/(1+Compression!$D$49)^'CFA Compression'!C20)))</f>
        <v/>
      </c>
      <c r="K20" s="768" t="str">
        <f>IF(B20=HOME!$A$9,0,IF(B20&lt;HOME!$A$9,"",IF(B20&gt;Compression!$D$48+HOME!$A$9,"",Compression!$D$62)))</f>
        <v/>
      </c>
      <c r="L20" s="769" t="str">
        <f>IF(B20=HOME!$A$9,0,IF(B20&lt;HOME!$A$9,"",IF(B20&gt;Compression!$D$48+HOME!$A$9,"",K20/(1+Compression!$D$49)^'CFA Compression'!C20)))</f>
        <v/>
      </c>
      <c r="N20" s="88"/>
    </row>
    <row r="21" spans="2:14">
      <c r="B21" s="764">
        <v>2039</v>
      </c>
      <c r="C21" s="765" t="str">
        <f>IF(B21=HOME!$A$9,B21-HOME!$A$9,IF(B21&lt;HOME!$A$9,"",IF(B21&gt;HOME!$A$9+Compression!$D$48,"",B21-HOME!$A$9)))</f>
        <v/>
      </c>
      <c r="D21" s="766" t="str" cm="1">
        <f t="array" ref="D21">IF(B21=HOME!$A$9,0,IF(B21&lt;HOME!$A$9,"",IF(B21&gt;Compression!$D$48+HOME!$A$9,"",IF(Compression!$E$11='List DB'!$Q$11,IF(HOME!$B$64="Electrolysis",IF(HOME!$B$65="Grid",INDEX(Tb_Fuel[],MATCH(B21,Tb_Fuel[Year],0),HLOOKUP(Compression!$E$14&amp;" - Grid",'Fuel Data'!$BB$2:$BX$3,2,FALSE)+1),INDEX(Tb_LCOE[],MATCH(HOME!$A$9,Tb_LCOE[Year],0),HLOOKUP("LCOE"&amp;HOME!$B$65,LCOE!$B$3:$G$4,2,FALSE)+1)/1000),INDEX(Tb_Fuel[],MATCH(B21,Tb_Fuel[Year],0),HLOOKUP(Compression!$E$14&amp;" - Gas",'Fuel Data'!$BB$2:$BX$3,2,FALSE)+1)/0.3),INDEX(Tb_Fuel[],MATCH(B21,Tb_Fuel[Year],0),HLOOKUP(Compression!$E$14&amp;" - Grid",'Fuel Data'!$BB$2:$BX$3,2,FALSE)+1)))))</f>
        <v/>
      </c>
      <c r="E21" s="766" t="str">
        <f>IF(B21=HOME!$A$9,Compression!$D$55,IF(B21&lt;HOME!$A$9,"",IF(B21&gt;Compression!$D$48+HOME!$A$9,"",0)))</f>
        <v/>
      </c>
      <c r="F21" s="766" t="str">
        <f>IF(B21=HOME!$A$9,0,IF(B21&lt;HOME!$A$9,"",IF(B21&gt;Compression!$D$48+HOME!$A$9,"",Compression!$D$55*Compression!$D$47)))</f>
        <v/>
      </c>
      <c r="G21" s="766" t="str">
        <f>IF(B21=HOME!$A$9,0,IF(B21&lt;HOME!$A$9,"",IF(B21&gt;Compression!$D$48+HOME!$A$9,"",D21/10^6*Compression!$D$61*1000)))</f>
        <v/>
      </c>
      <c r="H21" s="767" t="str">
        <f>IF(B21=HOME!$A$9,SUM(E21:G21),IF(B21&lt;HOME!$A$9,"",IF(B21&gt;Compression!$D$48+HOME!$A$9,"",SUM(E21:G21))))</f>
        <v/>
      </c>
      <c r="I21" s="767" t="str">
        <f>IF(B21=HOME!$A$9,G21/(1+Compression!$D$49)^'CFA Compression'!C21,IF(B21&lt;HOME!$A$9,"",IF(B21&gt;Compression!$D$48+HOME!$A$9,"",G21/(1+Compression!$D$49)^'CFA Compression'!C21)))</f>
        <v/>
      </c>
      <c r="J21" s="767" t="str">
        <f>IF(B21=HOME!$A$9,H21/(1+Compression!$D$49)^'CFA Compression'!C21,IF(B21&lt;HOME!$A$9,"",IF(B21&gt;Compression!$D$48+HOME!$A$9,"",H21/(1+Compression!$D$49)^'CFA Compression'!C21)))</f>
        <v/>
      </c>
      <c r="K21" s="768" t="str">
        <f>IF(B21=HOME!$A$9,0,IF(B21&lt;HOME!$A$9,"",IF(B21&gt;Compression!$D$48+HOME!$A$9,"",Compression!$D$62)))</f>
        <v/>
      </c>
      <c r="L21" s="769" t="str">
        <f>IF(B21=HOME!$A$9,0,IF(B21&lt;HOME!$A$9,"",IF(B21&gt;Compression!$D$48+HOME!$A$9,"",K21/(1+Compression!$D$49)^'CFA Compression'!C21)))</f>
        <v/>
      </c>
      <c r="N21" s="88"/>
    </row>
    <row r="22" spans="2:14">
      <c r="B22" s="764">
        <v>2040</v>
      </c>
      <c r="C22" s="765" t="str">
        <f>IF(B22=HOME!$A$9,B22-HOME!$A$9,IF(B22&lt;HOME!$A$9,"",IF(B22&gt;HOME!$A$9+Compression!$D$48,"",B22-HOME!$A$9)))</f>
        <v/>
      </c>
      <c r="D22" s="766" t="str" cm="1">
        <f t="array" ref="D22">IF(B22=HOME!$A$9,0,IF(B22&lt;HOME!$A$9,"",IF(B22&gt;Compression!$D$48+HOME!$A$9,"",IF(Compression!$E$11='List DB'!$Q$11,IF(HOME!$B$64="Electrolysis",IF(HOME!$B$65="Grid",INDEX(Tb_Fuel[],MATCH(B22,Tb_Fuel[Year],0),HLOOKUP(Compression!$E$14&amp;" - Grid",'Fuel Data'!$BB$2:$BX$3,2,FALSE)+1),INDEX(Tb_LCOE[],MATCH(HOME!$A$9,Tb_LCOE[Year],0),HLOOKUP("LCOE"&amp;HOME!$B$65,LCOE!$B$3:$G$4,2,FALSE)+1)/1000),INDEX(Tb_Fuel[],MATCH(B22,Tb_Fuel[Year],0),HLOOKUP(Compression!$E$14&amp;" - Gas",'Fuel Data'!$BB$2:$BX$3,2,FALSE)+1)/0.3),INDEX(Tb_Fuel[],MATCH(B22,Tb_Fuel[Year],0),HLOOKUP(Compression!$E$14&amp;" - Grid",'Fuel Data'!$BB$2:$BX$3,2,FALSE)+1)))))</f>
        <v/>
      </c>
      <c r="E22" s="766" t="str">
        <f>IF(B22=HOME!$A$9,Compression!$D$55,IF(B22&lt;HOME!$A$9,"",IF(B22&gt;Compression!$D$48+HOME!$A$9,"",0)))</f>
        <v/>
      </c>
      <c r="F22" s="766" t="str">
        <f>IF(B22=HOME!$A$9,0,IF(B22&lt;HOME!$A$9,"",IF(B22&gt;Compression!$D$48+HOME!$A$9,"",Compression!$D$55*Compression!$D$47)))</f>
        <v/>
      </c>
      <c r="G22" s="766" t="str">
        <f>IF(B22=HOME!$A$9,0,IF(B22&lt;HOME!$A$9,"",IF(B22&gt;Compression!$D$48+HOME!$A$9,"",D22/10^6*Compression!$D$61*1000)))</f>
        <v/>
      </c>
      <c r="H22" s="767" t="str">
        <f>IF(B22=HOME!$A$9,SUM(E22:G22),IF(B22&lt;HOME!$A$9,"",IF(B22&gt;Compression!$D$48+HOME!$A$9,"",SUM(E22:G22))))</f>
        <v/>
      </c>
      <c r="I22" s="767" t="str">
        <f>IF(B22=HOME!$A$9,G22/(1+Compression!$D$49)^'CFA Compression'!C22,IF(B22&lt;HOME!$A$9,"",IF(B22&gt;Compression!$D$48+HOME!$A$9,"",G22/(1+Compression!$D$49)^'CFA Compression'!C22)))</f>
        <v/>
      </c>
      <c r="J22" s="767" t="str">
        <f>IF(B22=HOME!$A$9,H22/(1+Compression!$D$49)^'CFA Compression'!C22,IF(B22&lt;HOME!$A$9,"",IF(B22&gt;Compression!$D$48+HOME!$A$9,"",H22/(1+Compression!$D$49)^'CFA Compression'!C22)))</f>
        <v/>
      </c>
      <c r="K22" s="768" t="str">
        <f>IF(B22=HOME!$A$9,0,IF(B22&lt;HOME!$A$9,"",IF(B22&gt;Compression!$D$48+HOME!$A$9,"",Compression!$D$62)))</f>
        <v/>
      </c>
      <c r="L22" s="769" t="str">
        <f>IF(B22=HOME!$A$9,0,IF(B22&lt;HOME!$A$9,"",IF(B22&gt;Compression!$D$48+HOME!$A$9,"",K22/(1+Compression!$D$49)^'CFA Compression'!C22)))</f>
        <v/>
      </c>
      <c r="N22" s="88"/>
    </row>
    <row r="23" spans="2:14">
      <c r="B23" s="764">
        <v>2041</v>
      </c>
      <c r="C23" s="765" t="str">
        <f>IF(B23=HOME!$A$9,B23-HOME!$A$9,IF(B23&lt;HOME!$A$9,"",IF(B23&gt;HOME!$A$9+Compression!$D$48,"",B23-HOME!$A$9)))</f>
        <v/>
      </c>
      <c r="D23" s="766" t="str" cm="1">
        <f t="array" ref="D23">IF(B23=HOME!$A$9,0,IF(B23&lt;HOME!$A$9,"",IF(B23&gt;Compression!$D$48+HOME!$A$9,"",IF(Compression!$E$11='List DB'!$Q$11,IF(HOME!$B$64="Electrolysis",IF(HOME!$B$65="Grid",INDEX(Tb_Fuel[],MATCH(B23,Tb_Fuel[Year],0),HLOOKUP(Compression!$E$14&amp;" - Grid",'Fuel Data'!$BB$2:$BX$3,2,FALSE)+1),INDEX(Tb_LCOE[],MATCH(HOME!$A$9,Tb_LCOE[Year],0),HLOOKUP("LCOE"&amp;HOME!$B$65,LCOE!$B$3:$G$4,2,FALSE)+1)/1000),INDEX(Tb_Fuel[],MATCH(B23,Tb_Fuel[Year],0),HLOOKUP(Compression!$E$14&amp;" - Gas",'Fuel Data'!$BB$2:$BX$3,2,FALSE)+1)/0.3),INDEX(Tb_Fuel[],MATCH(B23,Tb_Fuel[Year],0),HLOOKUP(Compression!$E$14&amp;" - Grid",'Fuel Data'!$BB$2:$BX$3,2,FALSE)+1)))))</f>
        <v/>
      </c>
      <c r="E23" s="766" t="str">
        <f>IF(B23=HOME!$A$9,Compression!$D$55,IF(B23&lt;HOME!$A$9,"",IF(B23&gt;Compression!$D$48+HOME!$A$9,"",0)))</f>
        <v/>
      </c>
      <c r="F23" s="766" t="str">
        <f>IF(B23=HOME!$A$9,0,IF(B23&lt;HOME!$A$9,"",IF(B23&gt;Compression!$D$48+HOME!$A$9,"",Compression!$D$55*Compression!$D$47)))</f>
        <v/>
      </c>
      <c r="G23" s="766" t="str">
        <f>IF(B23=HOME!$A$9,0,IF(B23&lt;HOME!$A$9,"",IF(B23&gt;Compression!$D$48+HOME!$A$9,"",D23/10^6*Compression!$D$61*1000)))</f>
        <v/>
      </c>
      <c r="H23" s="767" t="str">
        <f>IF(B23=HOME!$A$9,SUM(E23:G23),IF(B23&lt;HOME!$A$9,"",IF(B23&gt;Compression!$D$48+HOME!$A$9,"",SUM(E23:G23))))</f>
        <v/>
      </c>
      <c r="I23" s="767" t="str">
        <f>IF(B23=HOME!$A$9,G23/(1+Compression!$D$49)^'CFA Compression'!C23,IF(B23&lt;HOME!$A$9,"",IF(B23&gt;Compression!$D$48+HOME!$A$9,"",G23/(1+Compression!$D$49)^'CFA Compression'!C23)))</f>
        <v/>
      </c>
      <c r="J23" s="767" t="str">
        <f>IF(B23=HOME!$A$9,H23/(1+Compression!$D$49)^'CFA Compression'!C23,IF(B23&lt;HOME!$A$9,"",IF(B23&gt;Compression!$D$48+HOME!$A$9,"",H23/(1+Compression!$D$49)^'CFA Compression'!C23)))</f>
        <v/>
      </c>
      <c r="K23" s="768" t="str">
        <f>IF(B23=HOME!$A$9,0,IF(B23&lt;HOME!$A$9,"",IF(B23&gt;Compression!$D$48+HOME!$A$9,"",Compression!$D$62)))</f>
        <v/>
      </c>
      <c r="L23" s="769" t="str">
        <f>IF(B23=HOME!$A$9,0,IF(B23&lt;HOME!$A$9,"",IF(B23&gt;Compression!$D$48+HOME!$A$9,"",K23/(1+Compression!$D$49)^'CFA Compression'!C23)))</f>
        <v/>
      </c>
      <c r="N23" s="88"/>
    </row>
    <row r="24" spans="2:14">
      <c r="B24" s="764">
        <v>2042</v>
      </c>
      <c r="C24" s="765" t="str">
        <f>IF(B24=HOME!$A$9,B24-HOME!$A$9,IF(B24&lt;HOME!$A$9,"",IF(B24&gt;HOME!$A$9+Compression!$D$48,"",B24-HOME!$A$9)))</f>
        <v/>
      </c>
      <c r="D24" s="766" t="str" cm="1">
        <f t="array" ref="D24">IF(B24=HOME!$A$9,0,IF(B24&lt;HOME!$A$9,"",IF(B24&gt;Compression!$D$48+HOME!$A$9,"",IF(Compression!$E$11='List DB'!$Q$11,IF(HOME!$B$64="Electrolysis",IF(HOME!$B$65="Grid",INDEX(Tb_Fuel[],MATCH(B24,Tb_Fuel[Year],0),HLOOKUP(Compression!$E$14&amp;" - Grid",'Fuel Data'!$BB$2:$BX$3,2,FALSE)+1),INDEX(Tb_LCOE[],MATCH(HOME!$A$9,Tb_LCOE[Year],0),HLOOKUP("LCOE"&amp;HOME!$B$65,LCOE!$B$3:$G$4,2,FALSE)+1)/1000),INDEX(Tb_Fuel[],MATCH(B24,Tb_Fuel[Year],0),HLOOKUP(Compression!$E$14&amp;" - Gas",'Fuel Data'!$BB$2:$BX$3,2,FALSE)+1)/0.3),INDEX(Tb_Fuel[],MATCH(B24,Tb_Fuel[Year],0),HLOOKUP(Compression!$E$14&amp;" - Grid",'Fuel Data'!$BB$2:$BX$3,2,FALSE)+1)))))</f>
        <v/>
      </c>
      <c r="E24" s="766" t="str">
        <f>IF(B24=HOME!$A$9,Compression!$D$55,IF(B24&lt;HOME!$A$9,"",IF(B24&gt;Compression!$D$48+HOME!$A$9,"",0)))</f>
        <v/>
      </c>
      <c r="F24" s="766" t="str">
        <f>IF(B24=HOME!$A$9,0,IF(B24&lt;HOME!$A$9,"",IF(B24&gt;Compression!$D$48+HOME!$A$9,"",Compression!$D$55*Compression!$D$47)))</f>
        <v/>
      </c>
      <c r="G24" s="766" t="str">
        <f>IF(B24=HOME!$A$9,0,IF(B24&lt;HOME!$A$9,"",IF(B24&gt;Compression!$D$48+HOME!$A$9,"",D24/10^6*Compression!$D$61*1000)))</f>
        <v/>
      </c>
      <c r="H24" s="767" t="str">
        <f>IF(B24=HOME!$A$9,SUM(E24:G24),IF(B24&lt;HOME!$A$9,"",IF(B24&gt;Compression!$D$48+HOME!$A$9,"",SUM(E24:G24))))</f>
        <v/>
      </c>
      <c r="I24" s="767" t="str">
        <f>IF(B24=HOME!$A$9,G24/(1+Compression!$D$49)^'CFA Compression'!C24,IF(B24&lt;HOME!$A$9,"",IF(B24&gt;Compression!$D$48+HOME!$A$9,"",G24/(1+Compression!$D$49)^'CFA Compression'!C24)))</f>
        <v/>
      </c>
      <c r="J24" s="767" t="str">
        <f>IF(B24=HOME!$A$9,H24/(1+Compression!$D$49)^'CFA Compression'!C24,IF(B24&lt;HOME!$A$9,"",IF(B24&gt;Compression!$D$48+HOME!$A$9,"",H24/(1+Compression!$D$49)^'CFA Compression'!C24)))</f>
        <v/>
      </c>
      <c r="K24" s="768" t="str">
        <f>IF(B24=HOME!$A$9,0,IF(B24&lt;HOME!$A$9,"",IF(B24&gt;Compression!$D$48+HOME!$A$9,"",Compression!$D$62)))</f>
        <v/>
      </c>
      <c r="L24" s="769" t="str">
        <f>IF(B24=HOME!$A$9,0,IF(B24&lt;HOME!$A$9,"",IF(B24&gt;Compression!$D$48+HOME!$A$9,"",K24/(1+Compression!$D$49)^'CFA Compression'!C24)))</f>
        <v/>
      </c>
      <c r="N24" s="88"/>
    </row>
    <row r="25" spans="2:14">
      <c r="B25" s="764">
        <v>2043</v>
      </c>
      <c r="C25" s="765" t="str">
        <f>IF(B25=HOME!$A$9,B25-HOME!$A$9,IF(B25&lt;HOME!$A$9,"",IF(B25&gt;HOME!$A$9+Compression!$D$48,"",B25-HOME!$A$9)))</f>
        <v/>
      </c>
      <c r="D25" s="766" t="str" cm="1">
        <f t="array" ref="D25">IF(B25=HOME!$A$9,0,IF(B25&lt;HOME!$A$9,"",IF(B25&gt;Compression!$D$48+HOME!$A$9,"",IF(Compression!$E$11='List DB'!$Q$11,IF(HOME!$B$64="Electrolysis",IF(HOME!$B$65="Grid",INDEX(Tb_Fuel[],MATCH(B25,Tb_Fuel[Year],0),HLOOKUP(Compression!$E$14&amp;" - Grid",'Fuel Data'!$BB$2:$BX$3,2,FALSE)+1),INDEX(Tb_LCOE[],MATCH(HOME!$A$9,Tb_LCOE[Year],0),HLOOKUP("LCOE"&amp;HOME!$B$65,LCOE!$B$3:$G$4,2,FALSE)+1)/1000),INDEX(Tb_Fuel[],MATCH(B25,Tb_Fuel[Year],0),HLOOKUP(Compression!$E$14&amp;" - Gas",'Fuel Data'!$BB$2:$BX$3,2,FALSE)+1)/0.3),INDEX(Tb_Fuel[],MATCH(B25,Tb_Fuel[Year],0),HLOOKUP(Compression!$E$14&amp;" - Grid",'Fuel Data'!$BB$2:$BX$3,2,FALSE)+1)))))</f>
        <v/>
      </c>
      <c r="E25" s="766" t="str">
        <f>IF(B25=HOME!$A$9,Compression!$D$55,IF(B25&lt;HOME!$A$9,"",IF(B25&gt;Compression!$D$48+HOME!$A$9,"",0)))</f>
        <v/>
      </c>
      <c r="F25" s="766" t="str">
        <f>IF(B25=HOME!$A$9,0,IF(B25&lt;HOME!$A$9,"",IF(B25&gt;Compression!$D$48+HOME!$A$9,"",Compression!$D$55*Compression!$D$47)))</f>
        <v/>
      </c>
      <c r="G25" s="766" t="str">
        <f>IF(B25=HOME!$A$9,0,IF(B25&lt;HOME!$A$9,"",IF(B25&gt;Compression!$D$48+HOME!$A$9,"",D25/10^6*Compression!$D$61*1000)))</f>
        <v/>
      </c>
      <c r="H25" s="767" t="str">
        <f>IF(B25=HOME!$A$9,SUM(E25:G25),IF(B25&lt;HOME!$A$9,"",IF(B25&gt;Compression!$D$48+HOME!$A$9,"",SUM(E25:G25))))</f>
        <v/>
      </c>
      <c r="I25" s="767" t="str">
        <f>IF(B25=HOME!$A$9,G25/(1+Compression!$D$49)^'CFA Compression'!C25,IF(B25&lt;HOME!$A$9,"",IF(B25&gt;Compression!$D$48+HOME!$A$9,"",G25/(1+Compression!$D$49)^'CFA Compression'!C25)))</f>
        <v/>
      </c>
      <c r="J25" s="767" t="str">
        <f>IF(B25=HOME!$A$9,H25/(1+Compression!$D$49)^'CFA Compression'!C25,IF(B25&lt;HOME!$A$9,"",IF(B25&gt;Compression!$D$48+HOME!$A$9,"",H25/(1+Compression!$D$49)^'CFA Compression'!C25)))</f>
        <v/>
      </c>
      <c r="K25" s="768" t="str">
        <f>IF(B25=HOME!$A$9,0,IF(B25&lt;HOME!$A$9,"",IF(B25&gt;Compression!$D$48+HOME!$A$9,"",Compression!$D$62)))</f>
        <v/>
      </c>
      <c r="L25" s="769" t="str">
        <f>IF(B25=HOME!$A$9,0,IF(B25&lt;HOME!$A$9,"",IF(B25&gt;Compression!$D$48+HOME!$A$9,"",K25/(1+Compression!$D$49)^'CFA Compression'!C25)))</f>
        <v/>
      </c>
    </row>
    <row r="26" spans="2:14">
      <c r="B26" s="764">
        <v>2044</v>
      </c>
      <c r="C26" s="765" t="str">
        <f>IF(B26=HOME!$A$9,B26-HOME!$A$9,IF(B26&lt;HOME!$A$9,"",IF(B26&gt;HOME!$A$9+Compression!$D$48,"",B26-HOME!$A$9)))</f>
        <v/>
      </c>
      <c r="D26" s="766" t="str" cm="1">
        <f t="array" ref="D26">IF(B26=HOME!$A$9,0,IF(B26&lt;HOME!$A$9,"",IF(B26&gt;Compression!$D$48+HOME!$A$9,"",IF(Compression!$E$11='List DB'!$Q$11,IF(HOME!$B$64="Electrolysis",IF(HOME!$B$65="Grid",INDEX(Tb_Fuel[],MATCH(B26,Tb_Fuel[Year],0),HLOOKUP(Compression!$E$14&amp;" - Grid",'Fuel Data'!$BB$2:$BX$3,2,FALSE)+1),INDEX(Tb_LCOE[],MATCH(HOME!$A$9,Tb_LCOE[Year],0),HLOOKUP("LCOE"&amp;HOME!$B$65,LCOE!$B$3:$G$4,2,FALSE)+1)/1000),INDEX(Tb_Fuel[],MATCH(B26,Tb_Fuel[Year],0),HLOOKUP(Compression!$E$14&amp;" - Gas",'Fuel Data'!$BB$2:$BX$3,2,FALSE)+1)/0.3),INDEX(Tb_Fuel[],MATCH(B26,Tb_Fuel[Year],0),HLOOKUP(Compression!$E$14&amp;" - Grid",'Fuel Data'!$BB$2:$BX$3,2,FALSE)+1)))))</f>
        <v/>
      </c>
      <c r="E26" s="766" t="str">
        <f>IF(B26=HOME!$A$9,Compression!$D$55,IF(B26&lt;HOME!$A$9,"",IF(B26&gt;Compression!$D$48+HOME!$A$9,"",0)))</f>
        <v/>
      </c>
      <c r="F26" s="766" t="str">
        <f>IF(B26=HOME!$A$9,0,IF(B26&lt;HOME!$A$9,"",IF(B26&gt;Compression!$D$48+HOME!$A$9,"",Compression!$D$55*Compression!$D$47)))</f>
        <v/>
      </c>
      <c r="G26" s="766" t="str">
        <f>IF(B26=HOME!$A$9,0,IF(B26&lt;HOME!$A$9,"",IF(B26&gt;Compression!$D$48+HOME!$A$9,"",D26/10^6*Compression!$D$61*1000)))</f>
        <v/>
      </c>
      <c r="H26" s="767" t="str">
        <f>IF(B26=HOME!$A$9,SUM(E26:G26),IF(B26&lt;HOME!$A$9,"",IF(B26&gt;Compression!$D$48+HOME!$A$9,"",SUM(E26:G26))))</f>
        <v/>
      </c>
      <c r="I26" s="767" t="str">
        <f>IF(B26=HOME!$A$9,G26/(1+Compression!$D$49)^'CFA Compression'!C26,IF(B26&lt;HOME!$A$9,"",IF(B26&gt;Compression!$D$48+HOME!$A$9,"",G26/(1+Compression!$D$49)^'CFA Compression'!C26)))</f>
        <v/>
      </c>
      <c r="J26" s="767" t="str">
        <f>IF(B26=HOME!$A$9,H26/(1+Compression!$D$49)^'CFA Compression'!C26,IF(B26&lt;HOME!$A$9,"",IF(B26&gt;Compression!$D$48+HOME!$A$9,"",H26/(1+Compression!$D$49)^'CFA Compression'!C26)))</f>
        <v/>
      </c>
      <c r="K26" s="768" t="str">
        <f>IF(B26=HOME!$A$9,0,IF(B26&lt;HOME!$A$9,"",IF(B26&gt;Compression!$D$48+HOME!$A$9,"",Compression!$D$62)))</f>
        <v/>
      </c>
      <c r="L26" s="769" t="str">
        <f>IF(B26=HOME!$A$9,0,IF(B26&lt;HOME!$A$9,"",IF(B26&gt;Compression!$D$48+HOME!$A$9,"",K26/(1+Compression!$D$49)^'CFA Compression'!C26)))</f>
        <v/>
      </c>
    </row>
    <row r="27" spans="2:14">
      <c r="B27" s="764">
        <v>2045</v>
      </c>
      <c r="C27" s="765" t="str">
        <f>IF(B27=HOME!$A$9,B27-HOME!$A$9,IF(B27&lt;HOME!$A$9,"",IF(B27&gt;HOME!$A$9+Compression!$D$48,"",B27-HOME!$A$9)))</f>
        <v/>
      </c>
      <c r="D27" s="766" t="str" cm="1">
        <f t="array" ref="D27">IF(B27=HOME!$A$9,0,IF(B27&lt;HOME!$A$9,"",IF(B27&gt;Compression!$D$48+HOME!$A$9,"",IF(Compression!$E$11='List DB'!$Q$11,IF(HOME!$B$64="Electrolysis",IF(HOME!$B$65="Grid",INDEX(Tb_Fuel[],MATCH(B27,Tb_Fuel[Year],0),HLOOKUP(Compression!$E$14&amp;" - Grid",'Fuel Data'!$BB$2:$BX$3,2,FALSE)+1),INDEX(Tb_LCOE[],MATCH(HOME!$A$9,Tb_LCOE[Year],0),HLOOKUP("LCOE"&amp;HOME!$B$65,LCOE!$B$3:$G$4,2,FALSE)+1)/1000),INDEX(Tb_Fuel[],MATCH(B27,Tb_Fuel[Year],0),HLOOKUP(Compression!$E$14&amp;" - Gas",'Fuel Data'!$BB$2:$BX$3,2,FALSE)+1)/0.3),INDEX(Tb_Fuel[],MATCH(B27,Tb_Fuel[Year],0),HLOOKUP(Compression!$E$14&amp;" - Grid",'Fuel Data'!$BB$2:$BX$3,2,FALSE)+1)))))</f>
        <v/>
      </c>
      <c r="E27" s="766" t="str">
        <f>IF(B27=HOME!$A$9,Compression!$D$55,IF(B27&lt;HOME!$A$9,"",IF(B27&gt;Compression!$D$48+HOME!$A$9,"",0)))</f>
        <v/>
      </c>
      <c r="F27" s="766" t="str">
        <f>IF(B27=HOME!$A$9,0,IF(B27&lt;HOME!$A$9,"",IF(B27&gt;Compression!$D$48+HOME!$A$9,"",Compression!$D$55*Compression!$D$47)))</f>
        <v/>
      </c>
      <c r="G27" s="766" t="str">
        <f>IF(B27=HOME!$A$9,0,IF(B27&lt;HOME!$A$9,"",IF(B27&gt;Compression!$D$48+HOME!$A$9,"",D27/10^6*Compression!$D$61*1000)))</f>
        <v/>
      </c>
      <c r="H27" s="767" t="str">
        <f>IF(B27=HOME!$A$9,SUM(E27:G27),IF(B27&lt;HOME!$A$9,"",IF(B27&gt;Compression!$D$48+HOME!$A$9,"",SUM(E27:G27))))</f>
        <v/>
      </c>
      <c r="I27" s="767" t="str">
        <f>IF(B27=HOME!$A$9,G27/(1+Compression!$D$49)^'CFA Compression'!C27,IF(B27&lt;HOME!$A$9,"",IF(B27&gt;Compression!$D$48+HOME!$A$9,"",G27/(1+Compression!$D$49)^'CFA Compression'!C27)))</f>
        <v/>
      </c>
      <c r="J27" s="767" t="str">
        <f>IF(B27=HOME!$A$9,H27/(1+Compression!$D$49)^'CFA Compression'!C27,IF(B27&lt;HOME!$A$9,"",IF(B27&gt;Compression!$D$48+HOME!$A$9,"",H27/(1+Compression!$D$49)^'CFA Compression'!C27)))</f>
        <v/>
      </c>
      <c r="K27" s="768" t="str">
        <f>IF(B27=HOME!$A$9,0,IF(B27&lt;HOME!$A$9,"",IF(B27&gt;Compression!$D$48+HOME!$A$9,"",Compression!$D$62)))</f>
        <v/>
      </c>
      <c r="L27" s="769" t="str">
        <f>IF(B27=HOME!$A$9,0,IF(B27&lt;HOME!$A$9,"",IF(B27&gt;Compression!$D$48+HOME!$A$9,"",K27/(1+Compression!$D$49)^'CFA Compression'!C27)))</f>
        <v/>
      </c>
    </row>
    <row r="28" spans="2:14">
      <c r="B28" s="764">
        <v>2046</v>
      </c>
      <c r="C28" s="765" t="str">
        <f>IF(B28=HOME!$A$9,B28-HOME!$A$9,IF(B28&lt;HOME!$A$9,"",IF(B28&gt;HOME!$A$9+Compression!$D$48,"",B28-HOME!$A$9)))</f>
        <v/>
      </c>
      <c r="D28" s="766" t="str" cm="1">
        <f t="array" ref="D28">IF(B28=HOME!$A$9,0,IF(B28&lt;HOME!$A$9,"",IF(B28&gt;Compression!$D$48+HOME!$A$9,"",IF(Compression!$E$11='List DB'!$Q$11,IF(HOME!$B$64="Electrolysis",IF(HOME!$B$65="Grid",INDEX(Tb_Fuel[],MATCH(B28,Tb_Fuel[Year],0),HLOOKUP(Compression!$E$14&amp;" - Grid",'Fuel Data'!$BB$2:$BX$3,2,FALSE)+1),INDEX(Tb_LCOE[],MATCH(HOME!$A$9,Tb_LCOE[Year],0),HLOOKUP("LCOE"&amp;HOME!$B$65,LCOE!$B$3:$G$4,2,FALSE)+1)/1000),INDEX(Tb_Fuel[],MATCH(B28,Tb_Fuel[Year],0),HLOOKUP(Compression!$E$14&amp;" - Gas",'Fuel Data'!$BB$2:$BX$3,2,FALSE)+1)/0.3),INDEX(Tb_Fuel[],MATCH(B28,Tb_Fuel[Year],0),HLOOKUP(Compression!$E$14&amp;" - Grid",'Fuel Data'!$BB$2:$BX$3,2,FALSE)+1)))))</f>
        <v/>
      </c>
      <c r="E28" s="766" t="str">
        <f>IF(B28=HOME!$A$9,Compression!$D$55,IF(B28&lt;HOME!$A$9,"",IF(B28&gt;Compression!$D$48+HOME!$A$9,"",0)))</f>
        <v/>
      </c>
      <c r="F28" s="766" t="str">
        <f>IF(B28=HOME!$A$9,0,IF(B28&lt;HOME!$A$9,"",IF(B28&gt;Compression!$D$48+HOME!$A$9,"",Compression!$D$55*Compression!$D$47)))</f>
        <v/>
      </c>
      <c r="G28" s="766" t="str">
        <f>IF(B28=HOME!$A$9,0,IF(B28&lt;HOME!$A$9,"",IF(B28&gt;Compression!$D$48+HOME!$A$9,"",D28/10^6*Compression!$D$61*1000)))</f>
        <v/>
      </c>
      <c r="H28" s="767" t="str">
        <f>IF(B28=HOME!$A$9,SUM(E28:G28),IF(B28&lt;HOME!$A$9,"",IF(B28&gt;Compression!$D$48+HOME!$A$9,"",SUM(E28:G28))))</f>
        <v/>
      </c>
      <c r="I28" s="767" t="str">
        <f>IF(B28=HOME!$A$9,G28/(1+Compression!$D$49)^'CFA Compression'!C28,IF(B28&lt;HOME!$A$9,"",IF(B28&gt;Compression!$D$48+HOME!$A$9,"",G28/(1+Compression!$D$49)^'CFA Compression'!C28)))</f>
        <v/>
      </c>
      <c r="J28" s="767" t="str">
        <f>IF(B28=HOME!$A$9,H28/(1+Compression!$D$49)^'CFA Compression'!C28,IF(B28&lt;HOME!$A$9,"",IF(B28&gt;Compression!$D$48+HOME!$A$9,"",H28/(1+Compression!$D$49)^'CFA Compression'!C28)))</f>
        <v/>
      </c>
      <c r="K28" s="768" t="str">
        <f>IF(B28=HOME!$A$9,0,IF(B28&lt;HOME!$A$9,"",IF(B28&gt;Compression!$D$48+HOME!$A$9,"",Compression!$D$62)))</f>
        <v/>
      </c>
      <c r="L28" s="769" t="str">
        <f>IF(B28=HOME!$A$9,0,IF(B28&lt;HOME!$A$9,"",IF(B28&gt;Compression!$D$48+HOME!$A$9,"",K28/(1+Compression!$D$49)^'CFA Compression'!C28)))</f>
        <v/>
      </c>
    </row>
    <row r="29" spans="2:14">
      <c r="B29" s="764">
        <v>2047</v>
      </c>
      <c r="C29" s="765" t="str">
        <f>IF(B29=HOME!$A$9,B29-HOME!$A$9,IF(B29&lt;HOME!$A$9,"",IF(B29&gt;HOME!$A$9+Compression!$D$48,"",B29-HOME!$A$9)))</f>
        <v/>
      </c>
      <c r="D29" s="766" t="str" cm="1">
        <f t="array" ref="D29">IF(B29=HOME!$A$9,0,IF(B29&lt;HOME!$A$9,"",IF(B29&gt;Compression!$D$48+HOME!$A$9,"",IF(Compression!$E$11='List DB'!$Q$11,IF(HOME!$B$64="Electrolysis",IF(HOME!$B$65="Grid",INDEX(Tb_Fuel[],MATCH(B29,Tb_Fuel[Year],0),HLOOKUP(Compression!$E$14&amp;" - Grid",'Fuel Data'!$BB$2:$BX$3,2,FALSE)+1),INDEX(Tb_LCOE[],MATCH(HOME!$A$9,Tb_LCOE[Year],0),HLOOKUP("LCOE"&amp;HOME!$B$65,LCOE!$B$3:$G$4,2,FALSE)+1)/1000),INDEX(Tb_Fuel[],MATCH(B29,Tb_Fuel[Year],0),HLOOKUP(Compression!$E$14&amp;" - Gas",'Fuel Data'!$BB$2:$BX$3,2,FALSE)+1)/0.3),INDEX(Tb_Fuel[],MATCH(B29,Tb_Fuel[Year],0),HLOOKUP(Compression!$E$14&amp;" - Grid",'Fuel Data'!$BB$2:$BX$3,2,FALSE)+1)))))</f>
        <v/>
      </c>
      <c r="E29" s="766" t="str">
        <f>IF(B29=HOME!$A$9,Compression!$D$55,IF(B29&lt;HOME!$A$9,"",IF(B29&gt;Compression!$D$48+HOME!$A$9,"",0)))</f>
        <v/>
      </c>
      <c r="F29" s="766" t="str">
        <f>IF(B29=HOME!$A$9,0,IF(B29&lt;HOME!$A$9,"",IF(B29&gt;Compression!$D$48+HOME!$A$9,"",Compression!$D$55*Compression!$D$47)))</f>
        <v/>
      </c>
      <c r="G29" s="766" t="str">
        <f>IF(B29=HOME!$A$9,0,IF(B29&lt;HOME!$A$9,"",IF(B29&gt;Compression!$D$48+HOME!$A$9,"",D29/10^6*Compression!$D$61*1000)))</f>
        <v/>
      </c>
      <c r="H29" s="767" t="str">
        <f>IF(B29=HOME!$A$9,SUM(E29:G29),IF(B29&lt;HOME!$A$9,"",IF(B29&gt;Compression!$D$48+HOME!$A$9,"",SUM(E29:G29))))</f>
        <v/>
      </c>
      <c r="I29" s="767" t="str">
        <f>IF(B29=HOME!$A$9,G29/(1+Compression!$D$49)^'CFA Compression'!C29,IF(B29&lt;HOME!$A$9,"",IF(B29&gt;Compression!$D$48+HOME!$A$9,"",G29/(1+Compression!$D$49)^'CFA Compression'!C29)))</f>
        <v/>
      </c>
      <c r="J29" s="767" t="str">
        <f>IF(B29=HOME!$A$9,H29/(1+Compression!$D$49)^'CFA Compression'!C29,IF(B29&lt;HOME!$A$9,"",IF(B29&gt;Compression!$D$48+HOME!$A$9,"",H29/(1+Compression!$D$49)^'CFA Compression'!C29)))</f>
        <v/>
      </c>
      <c r="K29" s="768" t="str">
        <f>IF(B29=HOME!$A$9,0,IF(B29&lt;HOME!$A$9,"",IF(B29&gt;Compression!$D$48+HOME!$A$9,"",Compression!$D$62)))</f>
        <v/>
      </c>
      <c r="L29" s="769" t="str">
        <f>IF(B29=HOME!$A$9,0,IF(B29&lt;HOME!$A$9,"",IF(B29&gt;Compression!$D$48+HOME!$A$9,"",K29/(1+Compression!$D$49)^'CFA Compression'!C29)))</f>
        <v/>
      </c>
    </row>
    <row r="30" spans="2:14">
      <c r="B30" s="764">
        <v>2048</v>
      </c>
      <c r="C30" s="765" t="str">
        <f>IF(B30=HOME!$A$9,B30-HOME!$A$9,IF(B30&lt;HOME!$A$9,"",IF(B30&gt;HOME!$A$9+Compression!$D$48,"",B30-HOME!$A$9)))</f>
        <v/>
      </c>
      <c r="D30" s="766" t="str" cm="1">
        <f t="array" ref="D30">IF(B30=HOME!$A$9,0,IF(B30&lt;HOME!$A$9,"",IF(B30&gt;Compression!$D$48+HOME!$A$9,"",IF(Compression!$E$11='List DB'!$Q$11,IF(HOME!$B$64="Electrolysis",IF(HOME!$B$65="Grid",INDEX(Tb_Fuel[],MATCH(B30,Tb_Fuel[Year],0),HLOOKUP(Compression!$E$14&amp;" - Grid",'Fuel Data'!$BB$2:$BX$3,2,FALSE)+1),INDEX(Tb_LCOE[],MATCH(HOME!$A$9,Tb_LCOE[Year],0),HLOOKUP("LCOE"&amp;HOME!$B$65,LCOE!$B$3:$G$4,2,FALSE)+1)/1000),INDEX(Tb_Fuel[],MATCH(B30,Tb_Fuel[Year],0),HLOOKUP(Compression!$E$14&amp;" - Gas",'Fuel Data'!$BB$2:$BX$3,2,FALSE)+1)/0.3),INDEX(Tb_Fuel[],MATCH(B30,Tb_Fuel[Year],0),HLOOKUP(Compression!$E$14&amp;" - Grid",'Fuel Data'!$BB$2:$BX$3,2,FALSE)+1)))))</f>
        <v/>
      </c>
      <c r="E30" s="766" t="str">
        <f>IF(B30=HOME!$A$9,Compression!$D$55,IF(B30&lt;HOME!$A$9,"",IF(B30&gt;Compression!$D$48+HOME!$A$9,"",0)))</f>
        <v/>
      </c>
      <c r="F30" s="766" t="str">
        <f>IF(B30=HOME!$A$9,0,IF(B30&lt;HOME!$A$9,"",IF(B30&gt;Compression!$D$48+HOME!$A$9,"",Compression!$D$55*Compression!$D$47)))</f>
        <v/>
      </c>
      <c r="G30" s="766" t="str">
        <f>IF(B30=HOME!$A$9,0,IF(B30&lt;HOME!$A$9,"",IF(B30&gt;Compression!$D$48+HOME!$A$9,"",D30/10^6*Compression!$D$61*1000)))</f>
        <v/>
      </c>
      <c r="H30" s="767" t="str">
        <f>IF(B30=HOME!$A$9,SUM(E30:G30),IF(B30&lt;HOME!$A$9,"",IF(B30&gt;Compression!$D$48+HOME!$A$9,"",SUM(E30:G30))))</f>
        <v/>
      </c>
      <c r="I30" s="767" t="str">
        <f>IF(B30=HOME!$A$9,G30/(1+Compression!$D$49)^'CFA Compression'!C30,IF(B30&lt;HOME!$A$9,"",IF(B30&gt;Compression!$D$48+HOME!$A$9,"",G30/(1+Compression!$D$49)^'CFA Compression'!C30)))</f>
        <v/>
      </c>
      <c r="J30" s="767" t="str">
        <f>IF(B30=HOME!$A$9,H30/(1+Compression!$D$49)^'CFA Compression'!C30,IF(B30&lt;HOME!$A$9,"",IF(B30&gt;Compression!$D$48+HOME!$A$9,"",H30/(1+Compression!$D$49)^'CFA Compression'!C30)))</f>
        <v/>
      </c>
      <c r="K30" s="768" t="str">
        <f>IF(B30=HOME!$A$9,0,IF(B30&lt;HOME!$A$9,"",IF(B30&gt;Compression!$D$48+HOME!$A$9,"",Compression!$D$62)))</f>
        <v/>
      </c>
      <c r="L30" s="769" t="str">
        <f>IF(B30=HOME!$A$9,0,IF(B30&lt;HOME!$A$9,"",IF(B30&gt;Compression!$D$48+HOME!$A$9,"",K30/(1+Compression!$D$49)^'CFA Compression'!C30)))</f>
        <v/>
      </c>
    </row>
    <row r="31" spans="2:14">
      <c r="B31" s="764">
        <v>2049</v>
      </c>
      <c r="C31" s="765" t="str">
        <f>IF(B31=HOME!$A$9,B31-HOME!$A$9,IF(B31&lt;HOME!$A$9,"",IF(B31&gt;HOME!$A$9+Compression!$D$48,"",B31-HOME!$A$9)))</f>
        <v/>
      </c>
      <c r="D31" s="766" t="str" cm="1">
        <f t="array" ref="D31">IF(B31=HOME!$A$9,0,IF(B31&lt;HOME!$A$9,"",IF(B31&gt;Compression!$D$48+HOME!$A$9,"",IF(Compression!$E$11='List DB'!$Q$11,IF(HOME!$B$64="Electrolysis",IF(HOME!$B$65="Grid",INDEX(Tb_Fuel[],MATCH(B31,Tb_Fuel[Year],0),HLOOKUP(Compression!$E$14&amp;" - Grid",'Fuel Data'!$BB$2:$BX$3,2,FALSE)+1),INDEX(Tb_LCOE[],MATCH(HOME!$A$9,Tb_LCOE[Year],0),HLOOKUP("LCOE"&amp;HOME!$B$65,LCOE!$B$3:$G$4,2,FALSE)+1)/1000),INDEX(Tb_Fuel[],MATCH(B31,Tb_Fuel[Year],0),HLOOKUP(Compression!$E$14&amp;" - Gas",'Fuel Data'!$BB$2:$BX$3,2,FALSE)+1)/0.3),INDEX(Tb_Fuel[],MATCH(B31,Tb_Fuel[Year],0),HLOOKUP(Compression!$E$14&amp;" - Grid",'Fuel Data'!$BB$2:$BX$3,2,FALSE)+1)))))</f>
        <v/>
      </c>
      <c r="E31" s="766" t="str">
        <f>IF(B31=HOME!$A$9,Compression!$D$55,IF(B31&lt;HOME!$A$9,"",IF(B31&gt;Compression!$D$48+HOME!$A$9,"",0)))</f>
        <v/>
      </c>
      <c r="F31" s="766" t="str">
        <f>IF(B31=HOME!$A$9,0,IF(B31&lt;HOME!$A$9,"",IF(B31&gt;Compression!$D$48+HOME!$A$9,"",Compression!$D$55*Compression!$D$47)))</f>
        <v/>
      </c>
      <c r="G31" s="766" t="str">
        <f>IF(B31=HOME!$A$9,0,IF(B31&lt;HOME!$A$9,"",IF(B31&gt;Compression!$D$48+HOME!$A$9,"",D31/10^6*Compression!$D$61*1000)))</f>
        <v/>
      </c>
      <c r="H31" s="767" t="str">
        <f>IF(B31=HOME!$A$9,SUM(E31:G31),IF(B31&lt;HOME!$A$9,"",IF(B31&gt;Compression!$D$48+HOME!$A$9,"",SUM(E31:G31))))</f>
        <v/>
      </c>
      <c r="I31" s="767" t="str">
        <f>IF(B31=HOME!$A$9,G31/(1+Compression!$D$49)^'CFA Compression'!C31,IF(B31&lt;HOME!$A$9,"",IF(B31&gt;Compression!$D$48+HOME!$A$9,"",G31/(1+Compression!$D$49)^'CFA Compression'!C31)))</f>
        <v/>
      </c>
      <c r="J31" s="767" t="str">
        <f>IF(B31=HOME!$A$9,H31/(1+Compression!$D$49)^'CFA Compression'!C31,IF(B31&lt;HOME!$A$9,"",IF(B31&gt;Compression!$D$48+HOME!$A$9,"",H31/(1+Compression!$D$49)^'CFA Compression'!C31)))</f>
        <v/>
      </c>
      <c r="K31" s="768" t="str">
        <f>IF(B31=HOME!$A$9,0,IF(B31&lt;HOME!$A$9,"",IF(B31&gt;Compression!$D$48+HOME!$A$9,"",Compression!$D$62)))</f>
        <v/>
      </c>
      <c r="L31" s="769" t="str">
        <f>IF(B31=HOME!$A$9,0,IF(B31&lt;HOME!$A$9,"",IF(B31&gt;Compression!$D$48+HOME!$A$9,"",K31/(1+Compression!$D$49)^'CFA Compression'!C31)))</f>
        <v/>
      </c>
    </row>
    <row r="32" spans="2:14">
      <c r="B32" s="764">
        <v>2050</v>
      </c>
      <c r="C32" s="765" t="str">
        <f>IF(B32=HOME!$A$9,B32-HOME!$A$9,IF(B32&lt;HOME!$A$9,"",IF(B32&gt;HOME!$A$9+Compression!$D$48,"",B32-HOME!$A$9)))</f>
        <v/>
      </c>
      <c r="D32" s="766" t="str" cm="1">
        <f t="array" ref="D32">IF(B32=HOME!$A$9,0,IF(B32&lt;HOME!$A$9,"",IF(B32&gt;Compression!$D$48+HOME!$A$9,"",IF(Compression!$E$11='List DB'!$Q$11,IF(HOME!$B$64="Electrolysis",IF(HOME!$B$65="Grid",INDEX(Tb_Fuel[],MATCH(B32,Tb_Fuel[Year],0),HLOOKUP(Compression!$E$14&amp;" - Grid",'Fuel Data'!$BB$2:$BX$3,2,FALSE)+1),INDEX(Tb_LCOE[],MATCH(HOME!$A$9,Tb_LCOE[Year],0),HLOOKUP("LCOE"&amp;HOME!$B$65,LCOE!$B$3:$G$4,2,FALSE)+1)/1000),INDEX(Tb_Fuel[],MATCH(B32,Tb_Fuel[Year],0),HLOOKUP(Compression!$E$14&amp;" - Gas",'Fuel Data'!$BB$2:$BX$3,2,FALSE)+1)/0.3),INDEX(Tb_Fuel[],MATCH(B32,Tb_Fuel[Year],0),HLOOKUP(Compression!$E$14&amp;" - Grid",'Fuel Data'!$BB$2:$BX$3,2,FALSE)+1)))))</f>
        <v/>
      </c>
      <c r="E32" s="766" t="str">
        <f>IF(B32=HOME!$A$9,Compression!$D$55,IF(B32&lt;HOME!$A$9,"",IF(B32&gt;Compression!$D$48+HOME!$A$9,"",0)))</f>
        <v/>
      </c>
      <c r="F32" s="766" t="str">
        <f>IF(B32=HOME!$A$9,0,IF(B32&lt;HOME!$A$9,"",IF(B32&gt;Compression!$D$48+HOME!$A$9,"",Compression!$D$55*Compression!$D$47)))</f>
        <v/>
      </c>
      <c r="G32" s="766" t="str">
        <f>IF(B32=HOME!$A$9,0,IF(B32&lt;HOME!$A$9,"",IF(B32&gt;Compression!$D$48+HOME!$A$9,"",D32/10^6*Compression!$D$61*1000)))</f>
        <v/>
      </c>
      <c r="H32" s="767" t="str">
        <f>IF(B32=HOME!$A$9,SUM(E32:G32),IF(B32&lt;HOME!$A$9,"",IF(B32&gt;Compression!$D$48+HOME!$A$9,"",SUM(E32:G32))))</f>
        <v/>
      </c>
      <c r="I32" s="767" t="str">
        <f>IF(B32=HOME!$A$9,G32/(1+Compression!$D$49)^'CFA Compression'!C32,IF(B32&lt;HOME!$A$9,"",IF(B32&gt;Compression!$D$48+HOME!$A$9,"",G32/(1+Compression!$D$49)^'CFA Compression'!C32)))</f>
        <v/>
      </c>
      <c r="J32" s="767" t="str">
        <f>IF(B32=HOME!$A$9,H32/(1+Compression!$D$49)^'CFA Compression'!C32,IF(B32&lt;HOME!$A$9,"",IF(B32&gt;Compression!$D$48+HOME!$A$9,"",H32/(1+Compression!$D$49)^'CFA Compression'!C32)))</f>
        <v/>
      </c>
      <c r="K32" s="768" t="str">
        <f>IF(B32=HOME!$A$9,0,IF(B32&lt;HOME!$A$9,"",IF(B32&gt;Compression!$D$48+HOME!$A$9,"",Compression!$D$62)))</f>
        <v/>
      </c>
      <c r="L32" s="769" t="str">
        <f>IF(B32=HOME!$A$9,0,IF(B32&lt;HOME!$A$9,"",IF(B32&gt;Compression!$D$48+HOME!$A$9,"",K32/(1+Compression!$D$49)^'CFA Compression'!C32)))</f>
        <v/>
      </c>
    </row>
    <row r="33" spans="2:12">
      <c r="B33" s="764">
        <v>2051</v>
      </c>
      <c r="C33" s="765" t="str">
        <f>IF(B33=HOME!$A$9,B33-HOME!$A$9,IF(B33&lt;HOME!$A$9,"",IF(B33&gt;HOME!$A$9+Compression!$D$48,"",B33-HOME!$A$9)))</f>
        <v/>
      </c>
      <c r="D33" s="766" t="str" cm="1">
        <f t="array" ref="D33">IF(B33=HOME!$A$9,0,IF(B33&lt;HOME!$A$9,"",IF(B33&gt;Compression!$D$48+HOME!$A$9,"",IF(Compression!$E$11='List DB'!$Q$11,IF(HOME!$B$64="Electrolysis",IF(HOME!$B$65="Grid",INDEX(Tb_Fuel[],MATCH(B33,Tb_Fuel[Year],0),HLOOKUP(Compression!$E$14&amp;" - Grid",'Fuel Data'!$BB$2:$BX$3,2,FALSE)+1),INDEX(Tb_LCOE[],MATCH(HOME!$A$9,Tb_LCOE[Year],0),HLOOKUP("LCOE"&amp;HOME!$B$65,LCOE!$B$3:$G$4,2,FALSE)+1)/1000),INDEX(Tb_Fuel[],MATCH(B33,Tb_Fuel[Year],0),HLOOKUP(Compression!$E$14&amp;" - Gas",'Fuel Data'!$BB$2:$BX$3,2,FALSE)+1)/0.3),INDEX(Tb_Fuel[],MATCH(B33,Tb_Fuel[Year],0),HLOOKUP(Compression!$E$14&amp;" - Grid",'Fuel Data'!$BB$2:$BX$3,2,FALSE)+1)))))</f>
        <v/>
      </c>
      <c r="E33" s="766" t="str">
        <f>IF(B33=HOME!$A$9,Compression!$D$55,IF(B33&lt;HOME!$A$9,"",IF(B33&gt;Compression!$D$48+HOME!$A$9,"",0)))</f>
        <v/>
      </c>
      <c r="F33" s="766" t="str">
        <f>IF(B33=HOME!$A$9,0,IF(B33&lt;HOME!$A$9,"",IF(B33&gt;Compression!$D$48+HOME!$A$9,"",Compression!$D$55*Compression!$D$47)))</f>
        <v/>
      </c>
      <c r="G33" s="766" t="str">
        <f>IF(B33=HOME!$A$9,0,IF(B33&lt;HOME!$A$9,"",IF(B33&gt;Compression!$D$48+HOME!$A$9,"",D33/10^6*Compression!$D$61*1000)))</f>
        <v/>
      </c>
      <c r="H33" s="767" t="str">
        <f>IF(B33=HOME!$A$9,SUM(E33:G33),IF(B33&lt;HOME!$A$9,"",IF(B33&gt;Compression!$D$48+HOME!$A$9,"",SUM(E33:G33))))</f>
        <v/>
      </c>
      <c r="I33" s="767" t="str">
        <f>IF(B33=HOME!$A$9,G33/(1+Compression!$D$49)^'CFA Compression'!C33,IF(B33&lt;HOME!$A$9,"",IF(B33&gt;Compression!$D$48+HOME!$A$9,"",G33/(1+Compression!$D$49)^'CFA Compression'!C33)))</f>
        <v/>
      </c>
      <c r="J33" s="767" t="str">
        <f>IF(B33=HOME!$A$9,H33/(1+Compression!$D$49)^'CFA Compression'!C33,IF(B33&lt;HOME!$A$9,"",IF(B33&gt;Compression!$D$48+HOME!$A$9,"",H33/(1+Compression!$D$49)^'CFA Compression'!C33)))</f>
        <v/>
      </c>
      <c r="K33" s="768" t="str">
        <f>IF(B33=HOME!$A$9,0,IF(B33&lt;HOME!$A$9,"",IF(B33&gt;Compression!$D$48+HOME!$A$9,"",Compression!$D$62)))</f>
        <v/>
      </c>
      <c r="L33" s="769" t="str">
        <f>IF(B33=HOME!$A$9,0,IF(B33&lt;HOME!$A$9,"",IF(B33&gt;Compression!$D$48+HOME!$A$9,"",K33/(1+Compression!$D$49)^'CFA Compression'!C33)))</f>
        <v/>
      </c>
    </row>
    <row r="34" spans="2:12">
      <c r="B34" s="764">
        <v>2052</v>
      </c>
      <c r="C34" s="765" t="str">
        <f>IF(B34=HOME!$A$9,B34-HOME!$A$9,IF(B34&lt;HOME!$A$9,"",IF(B34&gt;HOME!$A$9+Compression!$D$48,"",B34-HOME!$A$9)))</f>
        <v/>
      </c>
      <c r="D34" s="766" t="str" cm="1">
        <f t="array" ref="D34">IF(B34=HOME!$A$9,0,IF(B34&lt;HOME!$A$9,"",IF(B34&gt;Compression!$D$48+HOME!$A$9,"",IF(Compression!$E$11='List DB'!$Q$11,IF(HOME!$B$64="Electrolysis",IF(HOME!$B$65="Grid",INDEX(Tb_Fuel[],MATCH(B34,Tb_Fuel[Year],0),HLOOKUP(Compression!$E$14&amp;" - Grid",'Fuel Data'!$BB$2:$BX$3,2,FALSE)+1),INDEX(Tb_LCOE[],MATCH(HOME!$A$9,Tb_LCOE[Year],0),HLOOKUP("LCOE"&amp;HOME!$B$65,LCOE!$B$3:$G$4,2,FALSE)+1)/1000),INDEX(Tb_Fuel[],MATCH(B34,Tb_Fuel[Year],0),HLOOKUP(Compression!$E$14&amp;" - Gas",'Fuel Data'!$BB$2:$BX$3,2,FALSE)+1)/0.3),INDEX(Tb_Fuel[],MATCH(B34,Tb_Fuel[Year],0),HLOOKUP(Compression!$E$14&amp;" - Grid",'Fuel Data'!$BB$2:$BX$3,2,FALSE)+1)))))</f>
        <v/>
      </c>
      <c r="E34" s="766" t="str">
        <f>IF(B34=HOME!$A$9,Compression!$D$55,IF(B34&lt;HOME!$A$9,"",IF(B34&gt;Compression!$D$48+HOME!$A$9,"",0)))</f>
        <v/>
      </c>
      <c r="F34" s="766" t="str">
        <f>IF(B34=HOME!$A$9,0,IF(B34&lt;HOME!$A$9,"",IF(B34&gt;Compression!$D$48+HOME!$A$9,"",Compression!$D$55*Compression!$D$47)))</f>
        <v/>
      </c>
      <c r="G34" s="766" t="str">
        <f>IF(B34=HOME!$A$9,0,IF(B34&lt;HOME!$A$9,"",IF(B34&gt;Compression!$D$48+HOME!$A$9,"",D34/10^6*Compression!$D$61*1000)))</f>
        <v/>
      </c>
      <c r="H34" s="767" t="str">
        <f>IF(B34=HOME!$A$9,SUM(E34:G34),IF(B34&lt;HOME!$A$9,"",IF(B34&gt;Compression!$D$48+HOME!$A$9,"",SUM(E34:G34))))</f>
        <v/>
      </c>
      <c r="I34" s="767" t="str">
        <f>IF(B34=HOME!$A$9,G34/(1+Compression!$D$49)^'CFA Compression'!C34,IF(B34&lt;HOME!$A$9,"",IF(B34&gt;Compression!$D$48+HOME!$A$9,"",G34/(1+Compression!$D$49)^'CFA Compression'!C34)))</f>
        <v/>
      </c>
      <c r="J34" s="767" t="str">
        <f>IF(B34=HOME!$A$9,H34/(1+Compression!$D$49)^'CFA Compression'!C34,IF(B34&lt;HOME!$A$9,"",IF(B34&gt;Compression!$D$48+HOME!$A$9,"",H34/(1+Compression!$D$49)^'CFA Compression'!C34)))</f>
        <v/>
      </c>
      <c r="K34" s="768" t="str">
        <f>IF(B34=HOME!$A$9,0,IF(B34&lt;HOME!$A$9,"",IF(B34&gt;Compression!$D$48+HOME!$A$9,"",Compression!$D$62)))</f>
        <v/>
      </c>
      <c r="L34" s="769" t="str">
        <f>IF(B34=HOME!$A$9,0,IF(B34&lt;HOME!$A$9,"",IF(B34&gt;Compression!$D$48+HOME!$A$9,"",K34/(1+Compression!$D$49)^'CFA Compression'!C34)))</f>
        <v/>
      </c>
    </row>
    <row r="35" spans="2:12">
      <c r="B35" s="764">
        <v>2053</v>
      </c>
      <c r="C35" s="765" t="str">
        <f>IF(B35=HOME!$A$9,B35-HOME!$A$9,IF(B35&lt;HOME!$A$9,"",IF(B35&gt;HOME!$A$9+Compression!$D$48,"",B35-HOME!$A$9)))</f>
        <v/>
      </c>
      <c r="D35" s="766" t="str" cm="1">
        <f t="array" ref="D35">IF(B35=HOME!$A$9,0,IF(B35&lt;HOME!$A$9,"",IF(B35&gt;Compression!$D$48+HOME!$A$9,"",IF(Compression!$E$11='List DB'!$Q$11,IF(HOME!$B$64="Electrolysis",IF(HOME!$B$65="Grid",INDEX(Tb_Fuel[],MATCH(B35,Tb_Fuel[Year],0),HLOOKUP(Compression!$E$14&amp;" - Grid",'Fuel Data'!$BB$2:$BX$3,2,FALSE)+1),INDEX(Tb_LCOE[],MATCH(HOME!$A$9,Tb_LCOE[Year],0),HLOOKUP("LCOE"&amp;HOME!$B$65,LCOE!$B$3:$G$4,2,FALSE)+1)/1000),INDEX(Tb_Fuel[],MATCH(B35,Tb_Fuel[Year],0),HLOOKUP(Compression!$E$14&amp;" - Gas",'Fuel Data'!$BB$2:$BX$3,2,FALSE)+1)/0.3),INDEX(Tb_Fuel[],MATCH(B35,Tb_Fuel[Year],0),HLOOKUP(Compression!$E$14&amp;" - Grid",'Fuel Data'!$BB$2:$BX$3,2,FALSE)+1)))))</f>
        <v/>
      </c>
      <c r="E35" s="766" t="str">
        <f>IF(B35=HOME!$A$9,Compression!$D$55,IF(B35&lt;HOME!$A$9,"",IF(B35&gt;Compression!$D$48+HOME!$A$9,"",0)))</f>
        <v/>
      </c>
      <c r="F35" s="766" t="str">
        <f>IF(B35=HOME!$A$9,0,IF(B35&lt;HOME!$A$9,"",IF(B35&gt;Compression!$D$48+HOME!$A$9,"",Compression!$D$55*Compression!$D$47)))</f>
        <v/>
      </c>
      <c r="G35" s="766" t="str">
        <f>IF(B35=HOME!$A$9,0,IF(B35&lt;HOME!$A$9,"",IF(B35&gt;Compression!$D$48+HOME!$A$9,"",D35/10^6*Compression!$D$61*1000)))</f>
        <v/>
      </c>
      <c r="H35" s="767" t="str">
        <f>IF(B35=HOME!$A$9,SUM(E35:G35),IF(B35&lt;HOME!$A$9,"",IF(B35&gt;Compression!$D$48+HOME!$A$9,"",SUM(E35:G35))))</f>
        <v/>
      </c>
      <c r="I35" s="767" t="str">
        <f>IF(B35=HOME!$A$9,G35/(1+Compression!$D$49)^'CFA Compression'!C35,IF(B35&lt;HOME!$A$9,"",IF(B35&gt;Compression!$D$48+HOME!$A$9,"",G35/(1+Compression!$D$49)^'CFA Compression'!C35)))</f>
        <v/>
      </c>
      <c r="J35" s="767" t="str">
        <f>IF(B35=HOME!$A$9,H35/(1+Compression!$D$49)^'CFA Compression'!C35,IF(B35&lt;HOME!$A$9,"",IF(B35&gt;Compression!$D$48+HOME!$A$9,"",H35/(1+Compression!$D$49)^'CFA Compression'!C35)))</f>
        <v/>
      </c>
      <c r="K35" s="768" t="str">
        <f>IF(B35=HOME!$A$9,0,IF(B35&lt;HOME!$A$9,"",IF(B35&gt;Compression!$D$48+HOME!$A$9,"",Compression!$D$62)))</f>
        <v/>
      </c>
      <c r="L35" s="769" t="str">
        <f>IF(B35=HOME!$A$9,0,IF(B35&lt;HOME!$A$9,"",IF(B35&gt;Compression!$D$48+HOME!$A$9,"",K35/(1+Compression!$D$49)^'CFA Compression'!C35)))</f>
        <v/>
      </c>
    </row>
    <row r="36" spans="2:12">
      <c r="B36" s="764">
        <v>2054</v>
      </c>
      <c r="C36" s="765" t="str">
        <f>IF(B36=HOME!$A$9,B36-HOME!$A$9,IF(B36&lt;HOME!$A$9,"",IF(B36&gt;HOME!$A$9+Compression!$D$48,"",B36-HOME!$A$9)))</f>
        <v/>
      </c>
      <c r="D36" s="766" t="str" cm="1">
        <f t="array" ref="D36">IF(B36=HOME!$A$9,0,IF(B36&lt;HOME!$A$9,"",IF(B36&gt;Compression!$D$48+HOME!$A$9,"",IF(Compression!$E$11='List DB'!$Q$11,IF(HOME!$B$64="Electrolysis",IF(HOME!$B$65="Grid",INDEX(Tb_Fuel[],MATCH(B36,Tb_Fuel[Year],0),HLOOKUP(Compression!$E$14&amp;" - Grid",'Fuel Data'!$BB$2:$BX$3,2,FALSE)+1),INDEX(Tb_LCOE[],MATCH(HOME!$A$9,Tb_LCOE[Year],0),HLOOKUP("LCOE"&amp;HOME!$B$65,LCOE!$B$3:$G$4,2,FALSE)+1)/1000),INDEX(Tb_Fuel[],MATCH(B36,Tb_Fuel[Year],0),HLOOKUP(Compression!$E$14&amp;" - Gas",'Fuel Data'!$BB$2:$BX$3,2,FALSE)+1)/0.3),INDEX(Tb_Fuel[],MATCH(B36,Tb_Fuel[Year],0),HLOOKUP(Compression!$E$14&amp;" - Grid",'Fuel Data'!$BB$2:$BX$3,2,FALSE)+1)))))</f>
        <v/>
      </c>
      <c r="E36" s="766" t="str">
        <f>IF(B36=HOME!$A$9,Compression!$D$55,IF(B36&lt;HOME!$A$9,"",IF(B36&gt;Compression!$D$48+HOME!$A$9,"",0)))</f>
        <v/>
      </c>
      <c r="F36" s="766" t="str">
        <f>IF(B36=HOME!$A$9,0,IF(B36&lt;HOME!$A$9,"",IF(B36&gt;Compression!$D$48+HOME!$A$9,"",Compression!$D$55*Compression!$D$47)))</f>
        <v/>
      </c>
      <c r="G36" s="766" t="str">
        <f>IF(B36=HOME!$A$9,0,IF(B36&lt;HOME!$A$9,"",IF(B36&gt;Compression!$D$48+HOME!$A$9,"",D36/10^6*Compression!$D$61*1000)))</f>
        <v/>
      </c>
      <c r="H36" s="767" t="str">
        <f>IF(B36=HOME!$A$9,SUM(E36:G36),IF(B36&lt;HOME!$A$9,"",IF(B36&gt;Compression!$D$48+HOME!$A$9,"",SUM(E36:G36))))</f>
        <v/>
      </c>
      <c r="I36" s="767" t="str">
        <f>IF(B36=HOME!$A$9,G36/(1+Compression!$D$49)^'CFA Compression'!C36,IF(B36&lt;HOME!$A$9,"",IF(B36&gt;Compression!$D$48+HOME!$A$9,"",G36/(1+Compression!$D$49)^'CFA Compression'!C36)))</f>
        <v/>
      </c>
      <c r="J36" s="767" t="str">
        <f>IF(B36=HOME!$A$9,H36/(1+Compression!$D$49)^'CFA Compression'!C36,IF(B36&lt;HOME!$A$9,"",IF(B36&gt;Compression!$D$48+HOME!$A$9,"",H36/(1+Compression!$D$49)^'CFA Compression'!C36)))</f>
        <v/>
      </c>
      <c r="K36" s="768" t="str">
        <f>IF(B36=HOME!$A$9,0,IF(B36&lt;HOME!$A$9,"",IF(B36&gt;Compression!$D$48+HOME!$A$9,"",Compression!$D$62)))</f>
        <v/>
      </c>
      <c r="L36" s="769" t="str">
        <f>IF(B36=HOME!$A$9,0,IF(B36&lt;HOME!$A$9,"",IF(B36&gt;Compression!$D$48+HOME!$A$9,"",K36/(1+Compression!$D$49)^'CFA Compression'!C36)))</f>
        <v/>
      </c>
    </row>
    <row r="37" spans="2:12">
      <c r="B37" s="764">
        <v>2055</v>
      </c>
      <c r="C37" s="765" t="str">
        <f>IF(B37=HOME!$A$9,B37-HOME!$A$9,IF(B37&lt;HOME!$A$9,"",IF(B37&gt;HOME!$A$9+Compression!$D$48,"",B37-HOME!$A$9)))</f>
        <v/>
      </c>
      <c r="D37" s="766" t="str" cm="1">
        <f t="array" ref="D37">IF(B37=HOME!$A$9,0,IF(B37&lt;HOME!$A$9,"",IF(B37&gt;Compression!$D$48+HOME!$A$9,"",IF(Compression!$E$11='List DB'!$Q$11,IF(HOME!$B$64="Electrolysis",IF(HOME!$B$65="Grid",INDEX(Tb_Fuel[],MATCH(B37,Tb_Fuel[Year],0),HLOOKUP(Compression!$E$14&amp;" - Grid",'Fuel Data'!$BB$2:$BX$3,2,FALSE)+1),INDEX(Tb_LCOE[],MATCH(HOME!$A$9,Tb_LCOE[Year],0),HLOOKUP("LCOE"&amp;HOME!$B$65,LCOE!$B$3:$G$4,2,FALSE)+1)/1000),INDEX(Tb_Fuel[],MATCH(B37,Tb_Fuel[Year],0),HLOOKUP(Compression!$E$14&amp;" - Gas",'Fuel Data'!$BB$2:$BX$3,2,FALSE)+1)/0.3),INDEX(Tb_Fuel[],MATCH(B37,Tb_Fuel[Year],0),HLOOKUP(Compression!$E$14&amp;" - Grid",'Fuel Data'!$BB$2:$BX$3,2,FALSE)+1)))))</f>
        <v/>
      </c>
      <c r="E37" s="766" t="str">
        <f>IF(B37=HOME!$A$9,Compression!$D$55,IF(B37&lt;HOME!$A$9,"",IF(B37&gt;Compression!$D$48+HOME!$A$9,"",0)))</f>
        <v/>
      </c>
      <c r="F37" s="766" t="str">
        <f>IF(B37=HOME!$A$9,0,IF(B37&lt;HOME!$A$9,"",IF(B37&gt;Compression!$D$48+HOME!$A$9,"",Compression!$D$55*Compression!$D$47)))</f>
        <v/>
      </c>
      <c r="G37" s="766" t="str">
        <f>IF(B37=HOME!$A$9,0,IF(B37&lt;HOME!$A$9,"",IF(B37&gt;Compression!$D$48+HOME!$A$9,"",D37/10^6*Compression!$D$61*1000)))</f>
        <v/>
      </c>
      <c r="H37" s="767" t="str">
        <f>IF(B37=HOME!$A$9,SUM(E37:G37),IF(B37&lt;HOME!$A$9,"",IF(B37&gt;Compression!$D$48+HOME!$A$9,"",SUM(E37:G37))))</f>
        <v/>
      </c>
      <c r="I37" s="767" t="str">
        <f>IF(B37=HOME!$A$9,G37/(1+Compression!$D$49)^'CFA Compression'!C37,IF(B37&lt;HOME!$A$9,"",IF(B37&gt;Compression!$D$48+HOME!$A$9,"",G37/(1+Compression!$D$49)^'CFA Compression'!C37)))</f>
        <v/>
      </c>
      <c r="J37" s="767" t="str">
        <f>IF(B37=HOME!$A$9,H37/(1+Compression!$D$49)^'CFA Compression'!C37,IF(B37&lt;HOME!$A$9,"",IF(B37&gt;Compression!$D$48+HOME!$A$9,"",H37/(1+Compression!$D$49)^'CFA Compression'!C37)))</f>
        <v/>
      </c>
      <c r="K37" s="768" t="str">
        <f>IF(B37=HOME!$A$9,0,IF(B37&lt;HOME!$A$9,"",IF(B37&gt;Compression!$D$48+HOME!$A$9,"",Compression!$D$62)))</f>
        <v/>
      </c>
      <c r="L37" s="769" t="str">
        <f>IF(B37=HOME!$A$9,0,IF(B37&lt;HOME!$A$9,"",IF(B37&gt;Compression!$D$48+HOME!$A$9,"",K37/(1+Compression!$D$49)^'CFA Compression'!C37)))</f>
        <v/>
      </c>
    </row>
    <row r="38" spans="2:12">
      <c r="B38" s="764">
        <v>2056</v>
      </c>
      <c r="C38" s="765" t="str">
        <f>IF(B38=HOME!$A$9,B38-HOME!$A$9,IF(B38&lt;HOME!$A$9,"",IF(B38&gt;HOME!$A$9+Compression!$D$48,"",B38-HOME!$A$9)))</f>
        <v/>
      </c>
      <c r="D38" s="766" t="str" cm="1">
        <f t="array" ref="D38">IF(B38=HOME!$A$9,0,IF(B38&lt;HOME!$A$9,"",IF(B38&gt;Compression!$D$48+HOME!$A$9,"",IF(Compression!$E$11='List DB'!$Q$11,IF(HOME!$B$64="Electrolysis",IF(HOME!$B$65="Grid",INDEX(Tb_Fuel[],MATCH(B38,Tb_Fuel[Year],0),HLOOKUP(Compression!$E$14&amp;" - Grid",'Fuel Data'!$BB$2:$BX$3,2,FALSE)+1),INDEX(Tb_LCOE[],MATCH(HOME!$A$9,Tb_LCOE[Year],0),HLOOKUP("LCOE"&amp;HOME!$B$65,LCOE!$B$3:$G$4,2,FALSE)+1)/1000),INDEX(Tb_Fuel[],MATCH(B38,Tb_Fuel[Year],0),HLOOKUP(Compression!$E$14&amp;" - Gas",'Fuel Data'!$BB$2:$BX$3,2,FALSE)+1)/0.3),INDEX(Tb_Fuel[],MATCH(B38,Tb_Fuel[Year],0),HLOOKUP(Compression!$E$14&amp;" - Grid",'Fuel Data'!$BB$2:$BX$3,2,FALSE)+1)))))</f>
        <v/>
      </c>
      <c r="E38" s="766" t="str">
        <f>IF(B38=HOME!$A$9,Compression!$D$55,IF(B38&lt;HOME!$A$9,"",IF(B38&gt;Compression!$D$48+HOME!$A$9,"",0)))</f>
        <v/>
      </c>
      <c r="F38" s="766" t="str">
        <f>IF(B38=HOME!$A$9,0,IF(B38&lt;HOME!$A$9,"",IF(B38&gt;Compression!$D$48+HOME!$A$9,"",Compression!$D$55*Compression!$D$47)))</f>
        <v/>
      </c>
      <c r="G38" s="766" t="str">
        <f>IF(B38=HOME!$A$9,0,IF(B38&lt;HOME!$A$9,"",IF(B38&gt;Compression!$D$48+HOME!$A$9,"",D38/10^6*Compression!$D$61*1000)))</f>
        <v/>
      </c>
      <c r="H38" s="767" t="str">
        <f>IF(B38=HOME!$A$9,SUM(E38:G38),IF(B38&lt;HOME!$A$9,"",IF(B38&gt;Compression!$D$48+HOME!$A$9,"",SUM(E38:G38))))</f>
        <v/>
      </c>
      <c r="I38" s="767" t="str">
        <f>IF(B38=HOME!$A$9,G38/(1+Compression!$D$49)^'CFA Compression'!C38,IF(B38&lt;HOME!$A$9,"",IF(B38&gt;Compression!$D$48+HOME!$A$9,"",G38/(1+Compression!$D$49)^'CFA Compression'!C38)))</f>
        <v/>
      </c>
      <c r="J38" s="767" t="str">
        <f>IF(B38=HOME!$A$9,H38/(1+Compression!$D$49)^'CFA Compression'!C38,IF(B38&lt;HOME!$A$9,"",IF(B38&gt;Compression!$D$48+HOME!$A$9,"",H38/(1+Compression!$D$49)^'CFA Compression'!C38)))</f>
        <v/>
      </c>
      <c r="K38" s="768" t="str">
        <f>IF(B38=HOME!$A$9,0,IF(B38&lt;HOME!$A$9,"",IF(B38&gt;Compression!$D$48+HOME!$A$9,"",Compression!$D$62)))</f>
        <v/>
      </c>
      <c r="L38" s="769" t="str">
        <f>IF(B38=HOME!$A$9,0,IF(B38&lt;HOME!$A$9,"",IF(B38&gt;Compression!$D$48+HOME!$A$9,"",K38/(1+Compression!$D$49)^'CFA Compression'!C38)))</f>
        <v/>
      </c>
    </row>
    <row r="39" spans="2:12">
      <c r="B39" s="764">
        <v>2057</v>
      </c>
      <c r="C39" s="765" t="str">
        <f>IF(B39=HOME!$A$9,B39-HOME!$A$9,IF(B39&lt;HOME!$A$9,"",IF(B39&gt;HOME!$A$9+Compression!$D$48,"",B39-HOME!$A$9)))</f>
        <v/>
      </c>
      <c r="D39" s="766" t="str" cm="1">
        <f t="array" ref="D39">IF(B39=HOME!$A$9,0,IF(B39&lt;HOME!$A$9,"",IF(B39&gt;Compression!$D$48+HOME!$A$9,"",IF(Compression!$E$11='List DB'!$Q$11,IF(HOME!$B$64="Electrolysis",IF(HOME!$B$65="Grid",INDEX(Tb_Fuel[],MATCH(B39,Tb_Fuel[Year],0),HLOOKUP(Compression!$E$14&amp;" - Grid",'Fuel Data'!$BB$2:$BX$3,2,FALSE)+1),INDEX(Tb_LCOE[],MATCH(HOME!$A$9,Tb_LCOE[Year],0),HLOOKUP("LCOE"&amp;HOME!$B$65,LCOE!$B$3:$G$4,2,FALSE)+1)/1000),INDEX(Tb_Fuel[],MATCH(B39,Tb_Fuel[Year],0),HLOOKUP(Compression!$E$14&amp;" - Gas",'Fuel Data'!$BB$2:$BX$3,2,FALSE)+1)/0.3),INDEX(Tb_Fuel[],MATCH(B39,Tb_Fuel[Year],0),HLOOKUP(Compression!$E$14&amp;" - Grid",'Fuel Data'!$BB$2:$BX$3,2,FALSE)+1)))))</f>
        <v/>
      </c>
      <c r="E39" s="766" t="str">
        <f>IF(B39=HOME!$A$9,Compression!$D$55,IF(B39&lt;HOME!$A$9,"",IF(B39&gt;Compression!$D$48+HOME!$A$9,"",0)))</f>
        <v/>
      </c>
      <c r="F39" s="766" t="str">
        <f>IF(B39=HOME!$A$9,0,IF(B39&lt;HOME!$A$9,"",IF(B39&gt;Compression!$D$48+HOME!$A$9,"",Compression!$D$55*Compression!$D$47)))</f>
        <v/>
      </c>
      <c r="G39" s="766" t="str">
        <f>IF(B39=HOME!$A$9,0,IF(B39&lt;HOME!$A$9,"",IF(B39&gt;Compression!$D$48+HOME!$A$9,"",D39/10^6*Compression!$D$61*1000)))</f>
        <v/>
      </c>
      <c r="H39" s="767" t="str">
        <f>IF(B39=HOME!$A$9,SUM(E39:G39),IF(B39&lt;HOME!$A$9,"",IF(B39&gt;Compression!$D$48+HOME!$A$9,"",SUM(E39:G39))))</f>
        <v/>
      </c>
      <c r="I39" s="767" t="str">
        <f>IF(B39=HOME!$A$9,G39/(1+Compression!$D$49)^'CFA Compression'!C39,IF(B39&lt;HOME!$A$9,"",IF(B39&gt;Compression!$D$48+HOME!$A$9,"",G39/(1+Compression!$D$49)^'CFA Compression'!C39)))</f>
        <v/>
      </c>
      <c r="J39" s="767" t="str">
        <f>IF(B39=HOME!$A$9,H39/(1+Compression!$D$49)^'CFA Compression'!C39,IF(B39&lt;HOME!$A$9,"",IF(B39&gt;Compression!$D$48+HOME!$A$9,"",H39/(1+Compression!$D$49)^'CFA Compression'!C39)))</f>
        <v/>
      </c>
      <c r="K39" s="768" t="str">
        <f>IF(B39=HOME!$A$9,0,IF(B39&lt;HOME!$A$9,"",IF(B39&gt;Compression!$D$48+HOME!$A$9,"",Compression!$D$62)))</f>
        <v/>
      </c>
      <c r="L39" s="769" t="str">
        <f>IF(B39=HOME!$A$9,0,IF(B39&lt;HOME!$A$9,"",IF(B39&gt;Compression!$D$48+HOME!$A$9,"",K39/(1+Compression!$D$49)^'CFA Compression'!C39)))</f>
        <v/>
      </c>
    </row>
    <row r="40" spans="2:12">
      <c r="B40" s="764">
        <v>2058</v>
      </c>
      <c r="C40" s="765" t="str">
        <f>IF(B40=HOME!$A$9,B40-HOME!$A$9,IF(B40&lt;HOME!$A$9,"",IF(B40&gt;HOME!$A$9+Compression!$D$48,"",B40-HOME!$A$9)))</f>
        <v/>
      </c>
      <c r="D40" s="766" t="str" cm="1">
        <f t="array" ref="D40">IF(B40=HOME!$A$9,0,IF(B40&lt;HOME!$A$9,"",IF(B40&gt;Compression!$D$48+HOME!$A$9,"",IF(Compression!$E$11='List DB'!$Q$11,IF(HOME!$B$64="Electrolysis",IF(HOME!$B$65="Grid",INDEX(Tb_Fuel[],MATCH(B40,Tb_Fuel[Year],0),HLOOKUP(Compression!$E$14&amp;" - Grid",'Fuel Data'!$BB$2:$BX$3,2,FALSE)+1),INDEX(Tb_LCOE[],MATCH(HOME!$A$9,Tb_LCOE[Year],0),HLOOKUP("LCOE"&amp;HOME!$B$65,LCOE!$B$3:$G$4,2,FALSE)+1)/1000),INDEX(Tb_Fuel[],MATCH(B40,Tb_Fuel[Year],0),HLOOKUP(Compression!$E$14&amp;" - Gas",'Fuel Data'!$BB$2:$BX$3,2,FALSE)+1)/0.3),INDEX(Tb_Fuel[],MATCH(B40,Tb_Fuel[Year],0),HLOOKUP(Compression!$E$14&amp;" - Grid",'Fuel Data'!$BB$2:$BX$3,2,FALSE)+1)))))</f>
        <v/>
      </c>
      <c r="E40" s="766" t="str">
        <f>IF(B40=HOME!$A$9,Compression!$D$55,IF(B40&lt;HOME!$A$9,"",IF(B40&gt;Compression!$D$48+HOME!$A$9,"",0)))</f>
        <v/>
      </c>
      <c r="F40" s="766" t="str">
        <f>IF(B40=HOME!$A$9,0,IF(B40&lt;HOME!$A$9,"",IF(B40&gt;Compression!$D$48+HOME!$A$9,"",Compression!$D$55*Compression!$D$47)))</f>
        <v/>
      </c>
      <c r="G40" s="766" t="str">
        <f>IF(B40=HOME!$A$9,0,IF(B40&lt;HOME!$A$9,"",IF(B40&gt;Compression!$D$48+HOME!$A$9,"",D40/10^6*Compression!$D$61*1000)))</f>
        <v/>
      </c>
      <c r="H40" s="767" t="str">
        <f>IF(B40=HOME!$A$9,SUM(E40:G40),IF(B40&lt;HOME!$A$9,"",IF(B40&gt;Compression!$D$48+HOME!$A$9,"",SUM(E40:G40))))</f>
        <v/>
      </c>
      <c r="I40" s="767" t="str">
        <f>IF(B40=HOME!$A$9,G40/(1+Compression!$D$49)^'CFA Compression'!C40,IF(B40&lt;HOME!$A$9,"",IF(B40&gt;Compression!$D$48+HOME!$A$9,"",G40/(1+Compression!$D$49)^'CFA Compression'!C40)))</f>
        <v/>
      </c>
      <c r="J40" s="767" t="str">
        <f>IF(B40=HOME!$A$9,H40/(1+Compression!$D$49)^'CFA Compression'!C40,IF(B40&lt;HOME!$A$9,"",IF(B40&gt;Compression!$D$48+HOME!$A$9,"",H40/(1+Compression!$D$49)^'CFA Compression'!C40)))</f>
        <v/>
      </c>
      <c r="K40" s="768" t="str">
        <f>IF(B40=HOME!$A$9,0,IF(B40&lt;HOME!$A$9,"",IF(B40&gt;Compression!$D$48+HOME!$A$9,"",Compression!$D$62)))</f>
        <v/>
      </c>
      <c r="L40" s="769" t="str">
        <f>IF(B40=HOME!$A$9,0,IF(B40&lt;HOME!$A$9,"",IF(B40&gt;Compression!$D$48+HOME!$A$9,"",K40/(1+Compression!$D$49)^'CFA Compression'!C40)))</f>
        <v/>
      </c>
    </row>
    <row r="41" spans="2:12">
      <c r="B41" s="764">
        <v>2059</v>
      </c>
      <c r="C41" s="765" t="str">
        <f>IF(B41=HOME!$A$9,B41-HOME!$A$9,IF(B41&lt;HOME!$A$9,"",IF(B41&gt;HOME!$A$9+Compression!$D$48,"",B41-HOME!$A$9)))</f>
        <v/>
      </c>
      <c r="D41" s="766" t="str" cm="1">
        <f t="array" ref="D41">IF(B41=HOME!$A$9,0,IF(B41&lt;HOME!$A$9,"",IF(B41&gt;Compression!$D$48+HOME!$A$9,"",IF(Compression!$E$11='List DB'!$Q$11,IF(HOME!$B$64="Electrolysis",IF(HOME!$B$65="Grid",INDEX(Tb_Fuel[],MATCH(B41,Tb_Fuel[Year],0),HLOOKUP(Compression!$E$14&amp;" - Grid",'Fuel Data'!$BB$2:$BX$3,2,FALSE)+1),INDEX(Tb_LCOE[],MATCH(HOME!$A$9,Tb_LCOE[Year],0),HLOOKUP("LCOE"&amp;HOME!$B$65,LCOE!$B$3:$G$4,2,FALSE)+1)/1000),INDEX(Tb_Fuel[],MATCH(B41,Tb_Fuel[Year],0),HLOOKUP(Compression!$E$14&amp;" - Gas",'Fuel Data'!$BB$2:$BX$3,2,FALSE)+1)/0.3),INDEX(Tb_Fuel[],MATCH(B41,Tb_Fuel[Year],0),HLOOKUP(Compression!$E$14&amp;" - Grid",'Fuel Data'!$BB$2:$BX$3,2,FALSE)+1)))))</f>
        <v/>
      </c>
      <c r="E41" s="766" t="str">
        <f>IF(B41=HOME!$A$9,Compression!$D$55,IF(B41&lt;HOME!$A$9,"",IF(B41&gt;Compression!$D$48+HOME!$A$9,"",0)))</f>
        <v/>
      </c>
      <c r="F41" s="766" t="str">
        <f>IF(B41=HOME!$A$9,0,IF(B41&lt;HOME!$A$9,"",IF(B41&gt;Compression!$D$48+HOME!$A$9,"",Compression!$D$55*Compression!$D$47)))</f>
        <v/>
      </c>
      <c r="G41" s="766" t="str">
        <f>IF(B41=HOME!$A$9,0,IF(B41&lt;HOME!$A$9,"",IF(B41&gt;Compression!$D$48+HOME!$A$9,"",D41/10^6*Compression!$D$61*1000)))</f>
        <v/>
      </c>
      <c r="H41" s="767" t="str">
        <f>IF(B41=HOME!$A$9,SUM(E41:G41),IF(B41&lt;HOME!$A$9,"",IF(B41&gt;Compression!$D$48+HOME!$A$9,"",SUM(E41:G41))))</f>
        <v/>
      </c>
      <c r="I41" s="767" t="str">
        <f>IF(B41=HOME!$A$9,G41/(1+Compression!$D$49)^'CFA Compression'!C41,IF(B41&lt;HOME!$A$9,"",IF(B41&gt;Compression!$D$48+HOME!$A$9,"",G41/(1+Compression!$D$49)^'CFA Compression'!C41)))</f>
        <v/>
      </c>
      <c r="J41" s="767" t="str">
        <f>IF(B41=HOME!$A$9,H41/(1+Compression!$D$49)^'CFA Compression'!C41,IF(B41&lt;HOME!$A$9,"",IF(B41&gt;Compression!$D$48+HOME!$A$9,"",H41/(1+Compression!$D$49)^'CFA Compression'!C41)))</f>
        <v/>
      </c>
      <c r="K41" s="768" t="str">
        <f>IF(B41=HOME!$A$9,0,IF(B41&lt;HOME!$A$9,"",IF(B41&gt;Compression!$D$48+HOME!$A$9,"",Compression!$D$62)))</f>
        <v/>
      </c>
      <c r="L41" s="769" t="str">
        <f>IF(B41=HOME!$A$9,0,IF(B41&lt;HOME!$A$9,"",IF(B41&gt;Compression!$D$48+HOME!$A$9,"",K41/(1+Compression!$D$49)^'CFA Compression'!C41)))</f>
        <v/>
      </c>
    </row>
    <row r="42" spans="2:12" ht="17" thickBot="1">
      <c r="B42" s="770">
        <v>2060</v>
      </c>
      <c r="C42" s="771" t="str">
        <f>IF(B42=HOME!$A$9,B42-HOME!$A$9,IF(B42&lt;HOME!$A$9,"",IF(B42&gt;HOME!$A$9+Compression!$D$48,"",B42-HOME!$A$9)))</f>
        <v/>
      </c>
      <c r="D42" s="772" t="str" cm="1">
        <f t="array" ref="D42">IF(B42=HOME!$A$9,0,IF(B42&lt;HOME!$A$9,"",IF(B42&gt;Compression!$D$48+HOME!$A$9,"",IF(Compression!$E$11='List DB'!$Q$11,IF(HOME!$B$64="Electrolysis",IF(HOME!$B$65="Grid",INDEX(Tb_Fuel[],MATCH(B42,Tb_Fuel[Year],0),HLOOKUP(Compression!$E$14&amp;" - Grid",'Fuel Data'!$BB$2:$BX$3,2,FALSE)+1),INDEX(Tb_LCOE[],MATCH(HOME!$A$9,Tb_LCOE[Year],0),HLOOKUP("LCOE"&amp;HOME!$B$65,LCOE!$B$3:$G$4,2,FALSE)+1)/1000),INDEX(Tb_Fuel[],MATCH(B42,Tb_Fuel[Year],0),HLOOKUP(Compression!$E$14&amp;" - Gas",'Fuel Data'!$BB$2:$BX$3,2,FALSE)+1)/0.3),INDEX(Tb_Fuel[],MATCH(B42,Tb_Fuel[Year],0),HLOOKUP(Compression!$E$14&amp;" - Grid",'Fuel Data'!$BB$2:$BX$3,2,FALSE)+1)))))</f>
        <v/>
      </c>
      <c r="E42" s="772" t="str">
        <f>IF(B42=HOME!$A$9,Compression!$D$55,IF(B42&lt;HOME!$A$9,"",IF(B42&gt;Compression!$D$48+HOME!$A$9,"",0)))</f>
        <v/>
      </c>
      <c r="F42" s="772" t="str">
        <f>IF(B42=HOME!$A$9,0,IF(B42&lt;HOME!$A$9,"",IF(B42&gt;Compression!$D$48+HOME!$A$9,"",Compression!$D$55*Compression!$D$47)))</f>
        <v/>
      </c>
      <c r="G42" s="772" t="str">
        <f>IF(B42=HOME!$A$9,0,IF(B42&lt;HOME!$A$9,"",IF(B42&gt;Compression!$D$48+HOME!$A$9,"",D42/10^6*Compression!$D$61*1000)))</f>
        <v/>
      </c>
      <c r="H42" s="773" t="str">
        <f>IF(B42=HOME!$A$9,SUM(E42:G42),IF(B42&lt;HOME!$A$9,"",IF(B42&gt;Compression!$D$48+HOME!$A$9,"",SUM(E42:G42))))</f>
        <v/>
      </c>
      <c r="I42" s="773" t="str">
        <f>IF(B42=HOME!$A$9,G42/(1+Compression!$D$49)^'CFA Compression'!C42,IF(B42&lt;HOME!$A$9,"",IF(B42&gt;Compression!$D$48+HOME!$A$9,"",G42/(1+Compression!$D$49)^'CFA Compression'!C42)))</f>
        <v/>
      </c>
      <c r="J42" s="773" t="str">
        <f>IF(B42=HOME!$A$9,H42/(1+Compression!$D$49)^'CFA Compression'!C42,IF(B42&lt;HOME!$A$9,"",IF(B42&gt;Compression!$D$48+HOME!$A$9,"",H42/(1+Compression!$D$49)^'CFA Compression'!C42)))</f>
        <v/>
      </c>
      <c r="K42" s="774" t="str">
        <f>IF(B42=HOME!$A$9,0,IF(B42&lt;HOME!$A$9,"",IF(B42&gt;Compression!$D$48+HOME!$A$9,"",Compression!$D$62)))</f>
        <v/>
      </c>
      <c r="L42" s="775" t="str">
        <f>IF(B42=HOME!$A$9,0,IF(B42&lt;HOME!$A$9,"",IF(B42&gt;Compression!$D$48+HOME!$A$9,"",K42/(1+Compression!$D$49)^'CFA Compression'!C42)))</f>
        <v/>
      </c>
    </row>
    <row r="43" spans="2:12" ht="17" thickTop="1"/>
  </sheetData>
  <sheetProtection algorithmName="SHA-512" hashValue="omrMpcHSBpBEvnY4us0pKF9MTtTt3/UDDsjFaJBaTgRLy0r2TajR9okfxoKvqFHWOEeise6eRY3+Ods3QyDbug==" saltValue="ifEtwS9F0019GdoL/iI7Ew==" spinCount="100000" sheet="1" objects="1" scenarios="1"/>
  <hyperlinks>
    <hyperlink ref="A1" r:id="rId1" location="HOME!A1" display="applewebdata://31258B04-1677-4581-A769-CA032B874ED9/ - HOME!A1" xr:uid="{8A60B01D-D8B9-4A9E-AE03-8DEC7704A0A3}"/>
  </hyperlinks>
  <pageMargins left="0.7" right="0.7" top="0.75" bottom="0.75" header="0.3" footer="0.3"/>
  <pageSetup paperSize="9" orientation="portrait" verticalDpi="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34654-F328-4F65-8881-11EE9CFF1805}">
  <sheetPr>
    <tabColor theme="7" tint="0.59999389629810485"/>
  </sheetPr>
  <dimension ref="A1:P61"/>
  <sheetViews>
    <sheetView zoomScale="55" zoomScaleNormal="50" workbookViewId="0">
      <selection activeCell="C17" sqref="C17:C32"/>
    </sheetView>
  </sheetViews>
  <sheetFormatPr baseColWidth="10" defaultColWidth="10.83203125" defaultRowHeight="16"/>
  <cols>
    <col min="1" max="1" width="18.33203125" style="2" bestFit="1" customWidth="1"/>
    <col min="2" max="2" width="12" style="2" bestFit="1" customWidth="1"/>
    <col min="3" max="3" width="8" style="2" bestFit="1" customWidth="1"/>
    <col min="4" max="4" width="12" style="2" bestFit="1" customWidth="1"/>
    <col min="5" max="5" width="15" style="2" bestFit="1" customWidth="1"/>
    <col min="6" max="6" width="43.5" style="2" bestFit="1" customWidth="1"/>
    <col min="7" max="7" width="42.33203125" style="2" bestFit="1" customWidth="1"/>
    <col min="8" max="9" width="10.83203125" style="2"/>
    <col min="10" max="10" width="39" style="2" bestFit="1" customWidth="1"/>
    <col min="11" max="12" width="10.83203125" style="2"/>
    <col min="13" max="13" width="10.83203125" style="2" customWidth="1"/>
    <col min="14" max="16384" width="10.83203125" style="2"/>
  </cols>
  <sheetData>
    <row r="1" spans="1:16" ht="17" thickBot="1">
      <c r="A1" s="213" t="s">
        <v>234</v>
      </c>
      <c r="B1" s="236"/>
      <c r="C1" s="236"/>
      <c r="D1" s="236"/>
      <c r="E1" s="236"/>
      <c r="F1" s="236"/>
      <c r="G1" s="236"/>
    </row>
    <row r="2" spans="1:16" ht="19" thickBot="1">
      <c r="A2" s="236"/>
      <c r="B2" s="236"/>
      <c r="C2" s="236"/>
      <c r="D2" s="236"/>
      <c r="E2" s="236"/>
      <c r="F2" s="236"/>
      <c r="G2" s="236"/>
      <c r="J2" s="1308"/>
      <c r="K2" s="776" t="s">
        <v>541</v>
      </c>
      <c r="L2" s="777" t="s">
        <v>542</v>
      </c>
    </row>
    <row r="3" spans="1:16">
      <c r="A3" s="1190" t="s">
        <v>543</v>
      </c>
      <c r="B3" s="1191"/>
      <c r="C3" s="1191"/>
      <c r="D3" s="1191"/>
      <c r="E3" s="1191"/>
      <c r="F3" s="1191"/>
      <c r="G3" s="1298"/>
      <c r="J3" s="1309"/>
      <c r="K3" s="778" t="s">
        <v>544</v>
      </c>
      <c r="L3" s="779" t="s">
        <v>75</v>
      </c>
    </row>
    <row r="4" spans="1:16">
      <c r="A4" s="1193"/>
      <c r="B4" s="1194"/>
      <c r="C4" s="1194"/>
      <c r="D4" s="1194"/>
      <c r="E4" s="1194"/>
      <c r="F4" s="1194"/>
      <c r="G4" s="1299"/>
      <c r="J4" s="1310"/>
      <c r="K4" s="313"/>
      <c r="L4" s="780">
        <f>A5</f>
        <v>2.2098597260566675</v>
      </c>
    </row>
    <row r="5" spans="1:16">
      <c r="A5" s="1149">
        <f>D39</f>
        <v>2.2098597260566675</v>
      </c>
      <c r="B5" s="1150"/>
      <c r="C5" s="1150"/>
      <c r="D5" s="1150"/>
      <c r="E5" s="1153" t="s">
        <v>236</v>
      </c>
      <c r="F5" s="1153"/>
      <c r="G5" s="1154"/>
      <c r="J5" s="668" t="s">
        <v>24</v>
      </c>
      <c r="K5" s="781">
        <f>'NH3 conversion'!P5/365</f>
        <v>85.190127405414202</v>
      </c>
      <c r="L5" s="669">
        <f t="dataTable" ref="L5:L7" dt2D="0" dtr="0" r1="D22"/>
        <v>2.2098597260566675</v>
      </c>
    </row>
    <row r="6" spans="1:16" ht="17" thickBot="1">
      <c r="A6" s="1151"/>
      <c r="B6" s="1152"/>
      <c r="C6" s="1152"/>
      <c r="D6" s="1152"/>
      <c r="E6" s="1155"/>
      <c r="F6" s="1155"/>
      <c r="G6" s="1156"/>
      <c r="J6" s="668" t="s">
        <v>104</v>
      </c>
      <c r="K6" s="781">
        <f>'NH3 conversion'!P6/365</f>
        <v>7.667111466487281</v>
      </c>
      <c r="L6" s="669">
        <v>2.9999205204128252</v>
      </c>
    </row>
    <row r="7" spans="1:16" ht="17" thickBot="1">
      <c r="A7" s="553"/>
      <c r="B7" s="553"/>
      <c r="C7" s="553"/>
      <c r="D7" s="553"/>
      <c r="E7" s="553"/>
      <c r="F7" s="553"/>
      <c r="G7" s="553"/>
      <c r="J7" s="670"/>
      <c r="K7" s="782">
        <f>'NH3 conversion'!P7</f>
        <v>0</v>
      </c>
      <c r="L7" s="783" t="e">
        <v>#DIV/0!</v>
      </c>
    </row>
    <row r="8" spans="1:16">
      <c r="A8" s="1157" t="s">
        <v>237</v>
      </c>
      <c r="B8" s="1158"/>
      <c r="C8" s="1158"/>
      <c r="D8" s="1158"/>
      <c r="E8" s="1159">
        <f>HOME!A9</f>
        <v>2022</v>
      </c>
      <c r="F8" s="1159"/>
      <c r="G8" s="1160"/>
    </row>
    <row r="9" spans="1:16">
      <c r="A9" s="280"/>
      <c r="B9" s="280"/>
      <c r="C9" s="280"/>
      <c r="D9" s="280"/>
      <c r="E9" s="280"/>
      <c r="F9" s="280"/>
      <c r="G9" s="280"/>
    </row>
    <row r="10" spans="1:16">
      <c r="A10" s="1177" t="s">
        <v>241</v>
      </c>
      <c r="B10" s="1178"/>
      <c r="C10" s="1178"/>
      <c r="D10" s="1178"/>
      <c r="E10" s="1179" t="s">
        <v>383</v>
      </c>
      <c r="F10" s="1179"/>
      <c r="G10" s="1180"/>
    </row>
    <row r="11" spans="1:16">
      <c r="A11" s="280"/>
      <c r="B11" s="280"/>
      <c r="C11" s="280"/>
      <c r="D11" s="280"/>
      <c r="E11" s="280"/>
      <c r="F11" s="280"/>
      <c r="G11" s="280"/>
    </row>
    <row r="12" spans="1:16">
      <c r="A12" s="1157" t="s">
        <v>242</v>
      </c>
      <c r="B12" s="1158"/>
      <c r="C12" s="1158"/>
      <c r="D12" s="1158"/>
      <c r="E12" s="1159" t="str">
        <f>HOME!$B$9</f>
        <v>Spain</v>
      </c>
      <c r="F12" s="1159"/>
      <c r="G12" s="1160"/>
    </row>
    <row r="13" spans="1:16" ht="17" thickBot="1">
      <c r="A13" s="280"/>
      <c r="B13" s="280"/>
      <c r="C13" s="280"/>
      <c r="D13" s="280"/>
      <c r="E13" s="280"/>
      <c r="F13" s="280"/>
      <c r="G13" s="280"/>
    </row>
    <row r="14" spans="1:16" ht="17" thickBot="1">
      <c r="A14" s="1077" t="s">
        <v>243</v>
      </c>
      <c r="B14" s="1078"/>
      <c r="C14" s="1078"/>
      <c r="D14" s="1078"/>
      <c r="E14" s="1078"/>
      <c r="F14" s="1078"/>
      <c r="G14" s="1079"/>
      <c r="P14" s="173"/>
    </row>
    <row r="15" spans="1:16">
      <c r="A15" s="217"/>
      <c r="B15" s="217"/>
      <c r="C15" s="217"/>
      <c r="D15" s="217"/>
      <c r="E15" s="217"/>
      <c r="F15" s="217"/>
      <c r="G15" s="217"/>
    </row>
    <row r="16" spans="1:16">
      <c r="A16" s="526" t="s">
        <v>154</v>
      </c>
      <c r="B16" s="526" t="s">
        <v>244</v>
      </c>
      <c r="C16" s="1" t="s">
        <v>245</v>
      </c>
      <c r="D16" s="526" t="s">
        <v>246</v>
      </c>
      <c r="E16" s="526" t="s">
        <v>247</v>
      </c>
      <c r="F16" s="603" t="s">
        <v>248</v>
      </c>
      <c r="G16" s="604"/>
    </row>
    <row r="17" spans="1:9">
      <c r="A17" s="280"/>
      <c r="B17" s="280"/>
      <c r="C17" s="391"/>
      <c r="D17" s="280"/>
      <c r="E17" s="280"/>
      <c r="F17" s="280"/>
      <c r="G17" s="280"/>
    </row>
    <row r="18" spans="1:9" ht="18">
      <c r="A18" s="526" t="s">
        <v>409</v>
      </c>
      <c r="B18" s="785" cm="1">
        <f t="array" ref="B18">IFERROR(INDEX(Tb_Cpr24343941[],MATCH(A18,Tb_Cpr24343941[Parameter],0),HLOOKUP($E$10, 'Conversion data'!$BE$1:$BF$2,2,FALSE)+2),"-")</f>
        <v>1.0000000000000009E-2</v>
      </c>
      <c r="C18" s="797"/>
      <c r="D18" s="787">
        <f t="shared" ref="D18:D19" si="0">IF(ISBLANK(C18),B18,C18)</f>
        <v>1.0000000000000009E-2</v>
      </c>
      <c r="E18" s="335"/>
      <c r="F18" s="784" t="s">
        <v>546</v>
      </c>
      <c r="G18" s="1296" t="s">
        <v>547</v>
      </c>
    </row>
    <row r="19" spans="1:9" ht="18">
      <c r="A19" s="526" t="s">
        <v>413</v>
      </c>
      <c r="B19" s="785" cm="1">
        <f t="array" ref="B19">IFERROR(INDEX(Tb_Cpr24343941[],MATCH(A19,Tb_Cpr24343941[Parameter],0),HLOOKUP($E$10, 'Conversion data'!$BE$1:$BF$2,2,FALSE)+2),"-")</f>
        <v>0.15000000000000002</v>
      </c>
      <c r="C19" s="797"/>
      <c r="D19" s="787">
        <f t="shared" si="0"/>
        <v>0.15000000000000002</v>
      </c>
      <c r="E19" s="335"/>
      <c r="F19" s="784" t="s">
        <v>548</v>
      </c>
      <c r="G19" s="1296"/>
    </row>
    <row r="20" spans="1:9">
      <c r="A20" s="526" t="s">
        <v>405</v>
      </c>
      <c r="B20" s="786" cm="1">
        <f t="array" ref="B20">IFERROR(INDEX(Tb_Cpr24343941[],MATCH(A20,Tb_Cpr24343941[Parameter],0),HLOOKUP($E$10, 'Conversion data'!$BE$1:$BF$2,2,FALSE)+2),"-")</f>
        <v>0.9</v>
      </c>
      <c r="C20" s="798"/>
      <c r="D20" s="787">
        <f>IF(ISBLANK(C20),B20,C20)</f>
        <v>0.9</v>
      </c>
      <c r="E20" s="335"/>
      <c r="F20" s="659"/>
      <c r="G20" s="1296"/>
    </row>
    <row r="21" spans="1:9">
      <c r="A21" s="280"/>
      <c r="B21" s="280"/>
      <c r="C21" s="391"/>
      <c r="D21" s="280"/>
      <c r="E21" s="280"/>
      <c r="F21" s="280"/>
      <c r="G21" s="616"/>
    </row>
    <row r="22" spans="1:9" ht="18">
      <c r="A22" s="526" t="s">
        <v>549</v>
      </c>
      <c r="B22" s="562">
        <f>('NH3 conversion'!$D$43)/365</f>
        <v>85.190127405414202</v>
      </c>
      <c r="C22" s="799"/>
      <c r="D22" s="788">
        <f t="shared" ref="D22:D24" si="1">IF(ISBLANK(C22),B22,C22)</f>
        <v>85.190127405414202</v>
      </c>
      <c r="E22" s="789" t="s">
        <v>550</v>
      </c>
      <c r="F22" s="575" t="s">
        <v>551</v>
      </c>
      <c r="G22" s="1187" t="s">
        <v>552</v>
      </c>
      <c r="I22" s="173"/>
    </row>
    <row r="23" spans="1:9" ht="18">
      <c r="A23" s="526" t="s">
        <v>422</v>
      </c>
      <c r="B23" s="505" cm="1">
        <f t="array" ref="B23">IFERROR(INDEX(Tb_Cpr24343941[],MATCH(A23,Tb_Cpr24343941[Parameter],0),HLOOKUP($E$10, 'Conversion data'!$BE$1:$BF$2,2,FALSE)+2),"-")</f>
        <v>9.6999999999999993</v>
      </c>
      <c r="C23" s="799"/>
      <c r="D23" s="790">
        <f t="shared" si="1"/>
        <v>9.6999999999999993</v>
      </c>
      <c r="E23" s="651" t="s">
        <v>423</v>
      </c>
      <c r="F23" s="582" t="s">
        <v>553</v>
      </c>
      <c r="G23" s="1189"/>
    </row>
    <row r="24" spans="1:9" ht="18">
      <c r="A24" s="526" t="s">
        <v>427</v>
      </c>
      <c r="B24" s="505" cm="1">
        <f t="array" ref="B24">IFERROR(INDEX(Tb_Cpr24343941[],MATCH(A24,Tb_Cpr24343941[Parameter],0),HLOOKUP($E$10, 'Conversion data'!$BE$1:$BF$2,2,FALSE)+2),"-")</f>
        <v>1.5</v>
      </c>
      <c r="C24" s="799"/>
      <c r="D24" s="790">
        <f t="shared" si="1"/>
        <v>1.5</v>
      </c>
      <c r="E24" s="651" t="s">
        <v>423</v>
      </c>
      <c r="F24" s="582" t="s">
        <v>554</v>
      </c>
      <c r="G24" s="1188"/>
    </row>
    <row r="25" spans="1:9">
      <c r="A25" s="280"/>
      <c r="B25" s="280"/>
      <c r="C25" s="391"/>
      <c r="D25" s="280"/>
      <c r="E25" s="280" t="s">
        <v>280</v>
      </c>
      <c r="F25" s="280"/>
      <c r="G25" s="280"/>
    </row>
    <row r="26" spans="1:9" ht="18">
      <c r="A26" s="526" t="s">
        <v>202</v>
      </c>
      <c r="B26" s="506" cm="1">
        <f t="array" ref="B26">IFERROR(INDEX(Tb_Cpr24343941[],MATCH(A26,Tb_Cpr24343941[Parameter],0),HLOOKUP($E$10, 'Conversion data'!$BE$1:$BF$2,2,FALSE)+2),"-")</f>
        <v>0.04</v>
      </c>
      <c r="C26" s="800"/>
      <c r="D26" s="791">
        <f t="shared" ref="D26:D29" si="2">IF(ISBLANK(C26),B26,C26)</f>
        <v>0.04</v>
      </c>
      <c r="E26" s="792"/>
      <c r="F26" s="582" t="s">
        <v>281</v>
      </c>
      <c r="G26" s="1187" t="s">
        <v>555</v>
      </c>
    </row>
    <row r="27" spans="1:9" ht="18">
      <c r="A27" s="571" t="s">
        <v>206</v>
      </c>
      <c r="B27" s="508" cm="1">
        <f t="array" ref="B27">IFERROR(INDEX(Tb_Cpr24343941[],MATCH(A27,Tb_Cpr24343941[Parameter],0),HLOOKUP($E$10, 'Conversion data'!$BE$1:$BF$2,2,FALSE)+2),"-")</f>
        <v>30</v>
      </c>
      <c r="C27" s="801"/>
      <c r="D27" s="793">
        <f t="shared" si="2"/>
        <v>30</v>
      </c>
      <c r="E27" s="792" t="s">
        <v>207</v>
      </c>
      <c r="F27" s="585" t="s">
        <v>283</v>
      </c>
      <c r="G27" s="1189"/>
    </row>
    <row r="28" spans="1:9">
      <c r="A28" s="526" t="s">
        <v>211</v>
      </c>
      <c r="B28" s="506" cm="1">
        <f t="array" ref="B28">IFERROR((INDEX(Tb_Cpr24343941[],MATCH(A28,Tb_Cpr24343941[Parameter],0),HLOOKUP($E$10, 'Conversion data'!$BE$1:$BF$2,2,FALSE)+2)+1)/(1+'General values'!R9)-1,"-")</f>
        <v>6.1086139562302133E-2</v>
      </c>
      <c r="C28" s="800"/>
      <c r="D28" s="791">
        <f t="shared" si="2"/>
        <v>6.1086139562302133E-2</v>
      </c>
      <c r="E28" s="792"/>
      <c r="F28" s="582" t="s">
        <v>284</v>
      </c>
      <c r="G28" s="1189"/>
    </row>
    <row r="29" spans="1:9" ht="18">
      <c r="A29" s="526" t="s">
        <v>447</v>
      </c>
      <c r="B29" s="508" cm="1">
        <f t="array" ref="B29">IFERROR(INDEX(Tb_Cpr24343941[],MATCH(A29,Tb_Cpr24343941[Parameter],0),HLOOKUP($E$10, 'Conversion data'!$BE$1:$BF$2,2,FALSE)+2),"-")</f>
        <v>0.7</v>
      </c>
      <c r="C29" s="799"/>
      <c r="D29" s="790">
        <f t="shared" si="2"/>
        <v>0.7</v>
      </c>
      <c r="E29" s="651"/>
      <c r="F29" s="582" t="s">
        <v>556</v>
      </c>
      <c r="G29" s="1189"/>
    </row>
    <row r="30" spans="1:9" ht="18">
      <c r="A30" s="526" t="s">
        <v>450</v>
      </c>
      <c r="B30" s="508" cm="1">
        <f t="array" ref="B30">IFERROR(INDEX(Tb_Cpr24343941[],MATCH(A30,Tb_Cpr24343941[Parameter],0),HLOOKUP($E$10, 'Conversion data'!$BE$1:$BF$2,2,FALSE)+2),"-")</f>
        <v>411.86886940820682</v>
      </c>
      <c r="C30" s="799"/>
      <c r="D30" s="790">
        <f>IF(ISBLANK(C30),B30,C30)</f>
        <v>411.86886940820682</v>
      </c>
      <c r="E30" s="651" t="s">
        <v>292</v>
      </c>
      <c r="F30" s="582" t="s">
        <v>557</v>
      </c>
      <c r="G30" s="1189"/>
    </row>
    <row r="31" spans="1:9" ht="18">
      <c r="A31" s="526" t="s">
        <v>456</v>
      </c>
      <c r="B31" s="508" cm="1">
        <f t="array" ref="B31">IFERROR(INDEX(Tb_Cpr24343941[],MATCH(A31,Tb_Cpr24343941[Parameter],0),HLOOKUP($E$10, 'Conversion data'!$BE$1:$BF$2,2,FALSE)+2),"-")</f>
        <v>4109.58904109589</v>
      </c>
      <c r="C31" s="799"/>
      <c r="D31" s="790">
        <f t="shared" ref="D31:D32" si="3">IF(ISBLANK(C31),B31,C31)</f>
        <v>4109.58904109589</v>
      </c>
      <c r="E31" s="651" t="s">
        <v>455</v>
      </c>
      <c r="F31" s="582" t="s">
        <v>558</v>
      </c>
      <c r="G31" s="1189"/>
    </row>
    <row r="32" spans="1:9">
      <c r="A32" s="526" t="s">
        <v>296</v>
      </c>
      <c r="B32" s="572">
        <f>(D30)*((D22/D31)^D29)</f>
        <v>27.313199620631085</v>
      </c>
      <c r="C32" s="799"/>
      <c r="D32" s="794">
        <f t="shared" si="3"/>
        <v>27.313199620631085</v>
      </c>
      <c r="E32" s="468" t="s">
        <v>292</v>
      </c>
      <c r="F32" s="582"/>
      <c r="G32" s="1188"/>
    </row>
    <row r="33" spans="1:7" ht="17" thickBot="1">
      <c r="D33" s="280"/>
      <c r="E33" s="280"/>
    </row>
    <row r="34" spans="1:7" ht="17" thickBot="1">
      <c r="A34" s="1102" t="s">
        <v>297</v>
      </c>
      <c r="B34" s="1104"/>
      <c r="C34" s="1104"/>
      <c r="D34" s="1104"/>
      <c r="E34" s="1104"/>
      <c r="F34" s="1104"/>
      <c r="G34" s="1105"/>
    </row>
    <row r="36" spans="1:7" ht="18">
      <c r="A36" s="1172" t="s">
        <v>559</v>
      </c>
      <c r="B36" s="1173"/>
      <c r="C36" s="1173"/>
      <c r="D36" s="414">
        <f>((D23+D24)*((0.1765*D22*(1000/24))*D20*8760))/1000</f>
        <v>55320.662706374984</v>
      </c>
      <c r="E36" s="415" t="s">
        <v>521</v>
      </c>
    </row>
    <row r="37" spans="1:7" ht="18">
      <c r="A37" s="1172" t="s">
        <v>560</v>
      </c>
      <c r="B37" s="1173"/>
      <c r="C37" s="1173"/>
      <c r="D37" s="414">
        <f>D20*365*(0.1765*D22)*((1-D18)*(1-D19))</f>
        <v>4156.4587203048704</v>
      </c>
      <c r="E37" s="415" t="s">
        <v>561</v>
      </c>
      <c r="F37" s="175"/>
      <c r="G37" s="175"/>
    </row>
    <row r="38" spans="1:7" ht="17" thickBot="1">
      <c r="A38" s="280"/>
      <c r="B38" s="280"/>
      <c r="C38" s="280"/>
      <c r="D38" s="280"/>
      <c r="E38" s="280"/>
    </row>
    <row r="39" spans="1:7" ht="19" thickBot="1">
      <c r="A39" s="1074" t="s">
        <v>562</v>
      </c>
      <c r="B39" s="1075"/>
      <c r="C39" s="1075"/>
      <c r="D39" s="602">
        <f>SUM('CFA NH3 reconversion'!J4:J42)*10^6/(SUM('CFA NH3 reconversion'!L4:L42)*1000)</f>
        <v>2.2098597260566675</v>
      </c>
      <c r="E39" s="419" t="s">
        <v>75</v>
      </c>
      <c r="G39" s="174"/>
    </row>
    <row r="40" spans="1:7">
      <c r="A40" s="1071" t="s">
        <v>321</v>
      </c>
      <c r="B40" s="1072"/>
      <c r="C40" s="1072"/>
      <c r="D40" s="1072"/>
      <c r="E40" s="1073"/>
    </row>
    <row r="41" spans="1:7" ht="18">
      <c r="A41" s="1067" t="s">
        <v>563</v>
      </c>
      <c r="B41" s="1068"/>
      <c r="C41" s="1068"/>
      <c r="D41" s="795">
        <f>D39-D42</f>
        <v>0.745807438474968</v>
      </c>
      <c r="E41" s="421" t="s">
        <v>75</v>
      </c>
    </row>
    <row r="42" spans="1:7" ht="19" thickBot="1">
      <c r="A42" s="1069" t="s">
        <v>526</v>
      </c>
      <c r="B42" s="1070"/>
      <c r="C42" s="1070"/>
      <c r="D42" s="796">
        <f>SUM('CFA NH3 reconversion'!I4:I42)*10^6/(SUM('CFA NH3 reconversion'!L4:L42)*1000)</f>
        <v>1.4640522875816995</v>
      </c>
      <c r="E42" s="423" t="s">
        <v>75</v>
      </c>
    </row>
    <row r="52" ht="15.75" customHeight="1"/>
    <row r="54" ht="18" customHeight="1"/>
    <row r="61" ht="16" customHeight="1"/>
  </sheetData>
  <sheetProtection algorithmName="SHA-512" hashValue="e+l9AuoSuyoU/Va65NB6stqXwM06l8RZYwK0EHVlno1bmfKgODJ229Sxi0ND3+OqAr2Qg0B5RzAYRaqyYGVjhQ==" saltValue="XekIxFtq+CLbsLk7B0r7vg==" spinCount="100000" sheet="1" objects="1" scenarios="1"/>
  <mergeCells count="21">
    <mergeCell ref="J2:J4"/>
    <mergeCell ref="A12:D12"/>
    <mergeCell ref="E12:G12"/>
    <mergeCell ref="A3:G4"/>
    <mergeCell ref="A5:D6"/>
    <mergeCell ref="E5:G6"/>
    <mergeCell ref="A8:D8"/>
    <mergeCell ref="E8:G8"/>
    <mergeCell ref="A10:D10"/>
    <mergeCell ref="E10:G10"/>
    <mergeCell ref="A14:G14"/>
    <mergeCell ref="A34:G34"/>
    <mergeCell ref="A36:C36"/>
    <mergeCell ref="G22:G24"/>
    <mergeCell ref="G26:G32"/>
    <mergeCell ref="G18:G20"/>
    <mergeCell ref="A37:C37"/>
    <mergeCell ref="A39:C39"/>
    <mergeCell ref="A40:E40"/>
    <mergeCell ref="A41:C41"/>
    <mergeCell ref="A42:C42"/>
  </mergeCells>
  <hyperlinks>
    <hyperlink ref="A1" r:id="rId1" location="HOME!A1" display="applewebdata://31258B04-1677-4581-A769-CA032B874ED9/ - HOME!A1" xr:uid="{126D2C55-37F5-4248-99E0-75095C55B8C6}"/>
  </hyperlinks>
  <pageMargins left="0.7" right="0.7" top="0.75" bottom="0.75" header="0.3" footer="0.3"/>
  <pageSetup paperSize="9" orientation="portrait" verticalDpi="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1FF4B-8A96-4734-8100-430EADABB1D4}">
  <sheetPr>
    <tabColor theme="7" tint="0.79998168889431442"/>
  </sheetPr>
  <dimension ref="A1:N43"/>
  <sheetViews>
    <sheetView zoomScale="60" zoomScaleNormal="60" workbookViewId="0">
      <selection activeCell="B2" sqref="B2:L42"/>
    </sheetView>
  </sheetViews>
  <sheetFormatPr baseColWidth="10" defaultColWidth="8.83203125" defaultRowHeight="16"/>
  <cols>
    <col min="1" max="3" width="10.83203125" style="31" customWidth="1"/>
    <col min="4" max="4" width="16" style="31" bestFit="1" customWidth="1"/>
    <col min="5" max="21" width="10.83203125" style="31" customWidth="1"/>
    <col min="22" max="16384" width="8.83203125" style="31"/>
  </cols>
  <sheetData>
    <row r="1" spans="1:14" ht="17" thickBot="1">
      <c r="A1" s="151" t="s">
        <v>234</v>
      </c>
    </row>
    <row r="2" spans="1:14" ht="18" thickTop="1">
      <c r="B2" s="739"/>
      <c r="C2" s="740"/>
      <c r="D2" s="741" t="s">
        <v>527</v>
      </c>
      <c r="E2" s="742" t="s">
        <v>528</v>
      </c>
      <c r="F2" s="743" t="s">
        <v>528</v>
      </c>
      <c r="G2" s="742" t="s">
        <v>528</v>
      </c>
      <c r="H2" s="744" t="s">
        <v>528</v>
      </c>
      <c r="I2" s="745" t="s">
        <v>528</v>
      </c>
      <c r="J2" s="745" t="s">
        <v>528</v>
      </c>
      <c r="K2" s="746" t="s">
        <v>529</v>
      </c>
      <c r="L2" s="747" t="s">
        <v>529</v>
      </c>
    </row>
    <row r="3" spans="1:14" ht="68">
      <c r="B3" s="748" t="s">
        <v>530</v>
      </c>
      <c r="C3" s="749" t="s">
        <v>531</v>
      </c>
      <c r="D3" s="750" t="s">
        <v>532</v>
      </c>
      <c r="E3" s="751" t="s">
        <v>533</v>
      </c>
      <c r="F3" s="752" t="s">
        <v>534</v>
      </c>
      <c r="G3" s="751" t="s">
        <v>535</v>
      </c>
      <c r="H3" s="753" t="s">
        <v>536</v>
      </c>
      <c r="I3" s="754" t="s">
        <v>537</v>
      </c>
      <c r="J3" s="755" t="s">
        <v>538</v>
      </c>
      <c r="K3" s="756" t="s">
        <v>564</v>
      </c>
      <c r="L3" s="757" t="s">
        <v>565</v>
      </c>
    </row>
    <row r="4" spans="1:14">
      <c r="B4" s="758">
        <v>2022</v>
      </c>
      <c r="C4" s="759">
        <f>IF(B4=HOME!$A$9,B4-HOME!$A$9,IF(B4&lt;HOME!$A$9,"",IF(B4&gt;HOME!$A$9+'NH3 reconversion'!$D$27,"",B4-HOME!$A$9)))</f>
        <v>0</v>
      </c>
      <c r="D4" s="760" t="str" cm="1">
        <f t="array" ref="D4">IF(B4=HOME!$A$9,"",IF(B4&lt;HOME!$A$9,"",IF(B4&gt;'NH3 reconversion'!$D$27+HOME!$A$9,"",INDEX(Tb_Fuel[],MATCH(B4,Tb_Fuel[Year],0),HLOOKUP('NH3 reconversion'!$E$12&amp;" - Grid",'Fuel Data'!$BB$2:$BX$3,2,FALSE)+1))))</f>
        <v/>
      </c>
      <c r="E4" s="760">
        <f>IF(B4=HOME!$A$9,'NH3 reconversion'!$D$32,IF(B4&lt;HOME!$A$9,"",IF(B4&gt;'NH3 reconversion'!$D$27+HOME!$A$9,"",0)))</f>
        <v>27.313199620631085</v>
      </c>
      <c r="F4" s="760">
        <f>IF(B4=HOME!$A$9,0,IF(B4&lt;HOME!$A$9,"",IF(B4&gt;'NH3 reconversion'!$D$27+HOME!$A$9,"",'NH3 reconversion'!$D$32*'NH3 reconversion'!$D$26)))</f>
        <v>0</v>
      </c>
      <c r="G4" s="760">
        <f>IF(B4=HOME!$A$9,0,IF(B4&lt;HOME!$A$9,"",IF(B4&gt;'NH3 reconversion'!$D$27+HOME!$A$9,"",D4/10^6*'NH3 reconversion'!$D$36*1000)))</f>
        <v>0</v>
      </c>
      <c r="H4" s="760">
        <f>IF(B4=HOME!$A$9,SUM(E4:G4),IF(B4&lt;HOME!$A$9,"",IF(B4&gt;'NH3 reconversion'!$D$27+HOME!$A$9,"",SUM(E4:G4))))</f>
        <v>27.313199620631085</v>
      </c>
      <c r="I4" s="760">
        <f>IF(B4=HOME!$A$9,G4/(1+'NH3 reconversion'!$D$28)^C4,IF(B4&lt;HOME!$A$9,"",IF(B4&gt;'NH3 reconversion'!$D$27+HOME!$A$9,"",G4/(1+'NH3 reconversion'!$D$28)^C4)))</f>
        <v>0</v>
      </c>
      <c r="J4" s="760">
        <f>IF(B4=HOME!$A$9,H4/(1+'NH3 reconversion'!$D$28)^C4,IF(B4&lt;HOME!$A$9,"",IF(B4&gt;'NH3 reconversion'!$D$27+HOME!$A$9,"",H4/(1+'NH3 reconversion'!$D$28)^C4)))</f>
        <v>27.313199620631085</v>
      </c>
      <c r="K4" s="802">
        <f>IF(B4=HOME!$A$9,0,IF(B4&lt;HOME!$A$9,"",IF(B4&gt;'NH3 reconversion'!$D$27+HOME!$A$9,"", 'NH3 reconversion'!$D$37)))</f>
        <v>0</v>
      </c>
      <c r="L4" s="803">
        <f>IF(B4=HOME!$A$9,K4/(1+'NH3 reconversion'!$D$28)^C4,IF(B4&lt;HOME!$A$9,"",IF(B4&gt;'NH3 reconversion'!$D$27+HOME!$A$9,"",K4/(1+'NH3 reconversion'!$D$28)^C4)))</f>
        <v>0</v>
      </c>
      <c r="N4" s="88"/>
    </row>
    <row r="5" spans="1:14">
      <c r="B5" s="764">
        <v>2023</v>
      </c>
      <c r="C5" s="765">
        <f>IF(B5=HOME!$A$9,B5-HOME!$A$9,IF(B5&lt;HOME!$A$9,"",IF(B5&gt;HOME!$A$9+'NH3 reconversion'!$D$27,"",B5-HOME!$A$9)))</f>
        <v>1</v>
      </c>
      <c r="D5" s="766" cm="1">
        <f t="array" ref="D5">IF(B5=HOME!$A$9,"",IF(B5&lt;HOME!$A$9,"",IF(B5&gt;'NH3 reconversion'!$D$27+HOME!$A$9,"",INDEX(Tb_Fuel[],MATCH(B5,Tb_Fuel[Year],0),HLOOKUP('NH3 reconversion'!$E$12&amp;" - Grid",'Fuel Data'!$BB$2:$BX$3,2,FALSE)+1))))</f>
        <v>0.11</v>
      </c>
      <c r="E5" s="766">
        <f>IF(B5=HOME!$A$9,'NH3 reconversion'!$D$32,IF(B5&lt;HOME!$A$9,"",IF(B5&gt;'NH3 reconversion'!$D$27+HOME!$A$9,"",0)))</f>
        <v>0</v>
      </c>
      <c r="F5" s="766">
        <f>IF(B5=HOME!$A$9,0,IF(B5&lt;HOME!$A$9,"",IF(B5&gt;'NH3 reconversion'!$D$27+HOME!$A$9,"",'NH3 reconversion'!$D$32*'NH3 reconversion'!$D$26)))</f>
        <v>1.0925279848252434</v>
      </c>
      <c r="G5" s="766">
        <f>IF(B5=HOME!$A$9,0,IF(B5&lt;HOME!$A$9,"",IF(B5&gt;'NH3 reconversion'!$D$27+HOME!$A$9,"",D5/10^6*'NH3 reconversion'!$D$36*1000)))</f>
        <v>6.0852728977012482</v>
      </c>
      <c r="H5" s="766">
        <f>IF(B5=HOME!$A$9,SUM(E5:G5),IF(B5&lt;HOME!$A$9,"",IF(B5&gt;'NH3 reconversion'!$D$27+HOME!$A$9,"",SUM(E5:G5))))</f>
        <v>7.1778008825264914</v>
      </c>
      <c r="I5" s="766">
        <f>IF(B5=HOME!$A$9,G5/(1+'NH3 reconversion'!$D$28)^C5,IF(B5&lt;HOME!$A$9,"",IF(B5&gt;'NH3 reconversion'!$D$27+HOME!$A$9,"",G5/(1+'NH3 reconversion'!$D$28)^C5)))</f>
        <v>5.734947117687752</v>
      </c>
      <c r="J5" s="766">
        <f>IF(B5=HOME!$A$9,H5/(1+'NH3 reconversion'!$D$28)^C5,IF(B5&lt;HOME!$A$9,"",IF(B5&gt;'NH3 reconversion'!$D$27+HOME!$A$9,"",H5/(1+'NH3 reconversion'!$D$28)^C5)))</f>
        <v>6.764578873386597</v>
      </c>
      <c r="K5" s="804">
        <f>IF(B5=HOME!$A$9,0,IF(B5&lt;HOME!$A$9,"",IF(B5&gt;'NH3 reconversion'!$D$27+HOME!$A$9,"", 'NH3 reconversion'!$D$37)))</f>
        <v>4156.4587203048704</v>
      </c>
      <c r="L5" s="805">
        <f>IF(B5=HOME!$A$9,K5/(1+'NH3 reconversion'!$D$28)^C5,IF(B5&lt;HOME!$A$9,"",IF(B5&gt;'NH3 reconversion'!$D$27+HOME!$A$9,"",K5/(1+'NH3 reconversion'!$D$28)^C5)))</f>
        <v>3917.1737009206518</v>
      </c>
      <c r="N5" s="88"/>
    </row>
    <row r="6" spans="1:14">
      <c r="B6" s="764">
        <v>2024</v>
      </c>
      <c r="C6" s="765">
        <f>IF(B6=HOME!$A$9,B6-HOME!$A$9,IF(B6&lt;HOME!$A$9,"",IF(B6&gt;HOME!$A$9+'NH3 reconversion'!$D$27,"",B6-HOME!$A$9)))</f>
        <v>2</v>
      </c>
      <c r="D6" s="766" cm="1">
        <f t="array" ref="D6">IF(B6=HOME!$A$9,"",IF(B6&lt;HOME!$A$9,"",IF(B6&gt;'NH3 reconversion'!$D$27+HOME!$A$9,"",INDEX(Tb_Fuel[],MATCH(B6,Tb_Fuel[Year],0),HLOOKUP('NH3 reconversion'!$E$12&amp;" - Grid",'Fuel Data'!$BB$2:$BX$3,2,FALSE)+1))))</f>
        <v>0.11</v>
      </c>
      <c r="E6" s="766">
        <f>IF(B6=HOME!$A$9,'NH3 reconversion'!$D$32,IF(B6&lt;HOME!$A$9,"",IF(B6&gt;'NH3 reconversion'!$D$27+HOME!$A$9,"",0)))</f>
        <v>0</v>
      </c>
      <c r="F6" s="766">
        <f>IF(B6=HOME!$A$9,0,IF(B6&lt;HOME!$A$9,"",IF(B6&gt;'NH3 reconversion'!$D$27+HOME!$A$9,"",'NH3 reconversion'!$D$32*'NH3 reconversion'!$D$26)))</f>
        <v>1.0925279848252434</v>
      </c>
      <c r="G6" s="766">
        <f>IF(B6=HOME!$A$9,0,IF(B6&lt;HOME!$A$9,"",IF(B6&gt;'NH3 reconversion'!$D$27+HOME!$A$9,"",D6/10^6*'NH3 reconversion'!$D$36*1000)))</f>
        <v>6.0852728977012482</v>
      </c>
      <c r="H6" s="766">
        <f>IF(B6=HOME!$A$9,SUM(E6:G6),IF(B6&lt;HOME!$A$9,"",IF(B6&gt;'NH3 reconversion'!$D$27+HOME!$A$9,"",SUM(E6:G6))))</f>
        <v>7.1778008825264914</v>
      </c>
      <c r="I6" s="766">
        <f>IF(B6=HOME!$A$9,G6/(1+'NH3 reconversion'!$D$28)^C6,IF(B6&lt;HOME!$A$9,"",IF(B6&gt;'NH3 reconversion'!$D$27+HOME!$A$9,"",G6/(1+'NH3 reconversion'!$D$28)^C6)))</f>
        <v>5.4047893982041995</v>
      </c>
      <c r="J6" s="766">
        <f>IF(B6=HOME!$A$9,H6/(1+'NH3 reconversion'!$D$28)^C6,IF(B6&lt;HOME!$A$9,"",IF(B6&gt;'NH3 reconversion'!$D$27+HOME!$A$9,"",H6/(1+'NH3 reconversion'!$D$28)^C6)))</f>
        <v>6.3751458257451041</v>
      </c>
      <c r="K6" s="804">
        <f>IF(B6=HOME!$A$9,0,IF(B6&lt;HOME!$A$9,"",IF(B6&gt;'NH3 reconversion'!$D$27+HOME!$A$9,"", 'NH3 reconversion'!$D$37)))</f>
        <v>4156.4587203048704</v>
      </c>
      <c r="L6" s="805">
        <f>IF(B6=HOME!$A$9,K6/(1+'NH3 reconversion'!$D$28)^C6,IF(B6&lt;HOME!$A$9,"",IF(B6&gt;'NH3 reconversion'!$D$27+HOME!$A$9,"",K6/(1+'NH3 reconversion'!$D$28)^C6)))</f>
        <v>3691.6641871662614</v>
      </c>
      <c r="N6" s="88"/>
    </row>
    <row r="7" spans="1:14">
      <c r="B7" s="764">
        <v>2025</v>
      </c>
      <c r="C7" s="765">
        <f>IF(B7=HOME!$A$9,B7-HOME!$A$9,IF(B7&lt;HOME!$A$9,"",IF(B7&gt;HOME!$A$9+'NH3 reconversion'!$D$27,"",B7-HOME!$A$9)))</f>
        <v>3</v>
      </c>
      <c r="D7" s="766" cm="1">
        <f t="array" ref="D7">IF(B7=HOME!$A$9,"",IF(B7&lt;HOME!$A$9,"",IF(B7&gt;'NH3 reconversion'!$D$27+HOME!$A$9,"",INDEX(Tb_Fuel[],MATCH(B7,Tb_Fuel[Year],0),HLOOKUP('NH3 reconversion'!$E$12&amp;" - Grid",'Fuel Data'!$BB$2:$BX$3,2,FALSE)+1))))</f>
        <v>0.11</v>
      </c>
      <c r="E7" s="766">
        <f>IF(B7=HOME!$A$9,'NH3 reconversion'!$D$32,IF(B7&lt;HOME!$A$9,"",IF(B7&gt;'NH3 reconversion'!$D$27+HOME!$A$9,"",0)))</f>
        <v>0</v>
      </c>
      <c r="F7" s="766">
        <f>IF(B7=HOME!$A$9,0,IF(B7&lt;HOME!$A$9,"",IF(B7&gt;'NH3 reconversion'!$D$27+HOME!$A$9,"",'NH3 reconversion'!$D$32*'NH3 reconversion'!$D$26)))</f>
        <v>1.0925279848252434</v>
      </c>
      <c r="G7" s="766">
        <f>IF(B7=HOME!$A$9,0,IF(B7&lt;HOME!$A$9,"",IF(B7&gt;'NH3 reconversion'!$D$27+HOME!$A$9,"",D7/10^6*'NH3 reconversion'!$D$36*1000)))</f>
        <v>6.0852728977012482</v>
      </c>
      <c r="H7" s="766">
        <f>IF(B7=HOME!$A$9,SUM(E7:G7),IF(B7&lt;HOME!$A$9,"",IF(B7&gt;'NH3 reconversion'!$D$27+HOME!$A$9,"",SUM(E7:G7))))</f>
        <v>7.1778008825264914</v>
      </c>
      <c r="I7" s="766">
        <f>IF(B7=HOME!$A$9,G7/(1+'NH3 reconversion'!$D$28)^C7,IF(B7&lt;HOME!$A$9,"",IF(B7&gt;'NH3 reconversion'!$D$27+HOME!$A$9,"",G7/(1+'NH3 reconversion'!$D$28)^C7)))</f>
        <v>5.09363867521036</v>
      </c>
      <c r="J7" s="766">
        <f>IF(B7=HOME!$A$9,H7/(1+'NH3 reconversion'!$D$28)^C7,IF(B7&lt;HOME!$A$9,"",IF(B7&gt;'NH3 reconversion'!$D$27+HOME!$A$9,"",H7/(1+'NH3 reconversion'!$D$28)^C7)))</f>
        <v>6.0081322223046394</v>
      </c>
      <c r="K7" s="804">
        <f>IF(B7=HOME!$A$9,0,IF(B7&lt;HOME!$A$9,"",IF(B7&gt;'NH3 reconversion'!$D$27+HOME!$A$9,"", 'NH3 reconversion'!$D$37)))</f>
        <v>4156.4587203048704</v>
      </c>
      <c r="L7" s="805">
        <f>IF(B7=HOME!$A$9,K7/(1+'NH3 reconversion'!$D$28)^C7,IF(B7&lt;HOME!$A$9,"",IF(B7&gt;'NH3 reconversion'!$D$27+HOME!$A$9,"",K7/(1+'NH3 reconversion'!$D$28)^C7)))</f>
        <v>3479.1371308356479</v>
      </c>
      <c r="N7" s="88"/>
    </row>
    <row r="8" spans="1:14">
      <c r="B8" s="764">
        <v>2026</v>
      </c>
      <c r="C8" s="765">
        <f>IF(B8=HOME!$A$9,B8-HOME!$A$9,IF(B8&lt;HOME!$A$9,"",IF(B8&gt;HOME!$A$9+'NH3 reconversion'!$D$27,"",B8-HOME!$A$9)))</f>
        <v>4</v>
      </c>
      <c r="D8" s="766" cm="1">
        <f t="array" ref="D8">IF(B8=HOME!$A$9,"",IF(B8&lt;HOME!$A$9,"",IF(B8&gt;'NH3 reconversion'!$D$27+HOME!$A$9,"",INDEX(Tb_Fuel[],MATCH(B8,Tb_Fuel[Year],0),HLOOKUP('NH3 reconversion'!$E$12&amp;" - Grid",'Fuel Data'!$BB$2:$BX$3,2,FALSE)+1))))</f>
        <v>0.11</v>
      </c>
      <c r="E8" s="766">
        <f>IF(B8=HOME!$A$9,'NH3 reconversion'!$D$32,IF(B8&lt;HOME!$A$9,"",IF(B8&gt;'NH3 reconversion'!$D$27+HOME!$A$9,"",0)))</f>
        <v>0</v>
      </c>
      <c r="F8" s="766">
        <f>IF(B8=HOME!$A$9,0,IF(B8&lt;HOME!$A$9,"",IF(B8&gt;'NH3 reconversion'!$D$27+HOME!$A$9,"",'NH3 reconversion'!$D$32*'NH3 reconversion'!$D$26)))</f>
        <v>1.0925279848252434</v>
      </c>
      <c r="G8" s="766">
        <f>IF(B8=HOME!$A$9,0,IF(B8&lt;HOME!$A$9,"",IF(B8&gt;'NH3 reconversion'!$D$27+HOME!$A$9,"",D8/10^6*'NH3 reconversion'!$D$36*1000)))</f>
        <v>6.0852728977012482</v>
      </c>
      <c r="H8" s="766">
        <f>IF(B8=HOME!$A$9,SUM(E8:G8),IF(B8&lt;HOME!$A$9,"",IF(B8&gt;'NH3 reconversion'!$D$27+HOME!$A$9,"",SUM(E8:G8))))</f>
        <v>7.1778008825264914</v>
      </c>
      <c r="I8" s="766">
        <f>IF(B8=HOME!$A$9,G8/(1+'NH3 reconversion'!$D$28)^C8,IF(B8&lt;HOME!$A$9,"",IF(B8&gt;'NH3 reconversion'!$D$27+HOME!$A$9,"",G8/(1+'NH3 reconversion'!$D$28)^C8)))</f>
        <v>4.8004007264777631</v>
      </c>
      <c r="J8" s="766">
        <f>IF(B8=HOME!$A$9,H8/(1+'NH3 reconversion'!$D$28)^C8,IF(B8&lt;HOME!$A$9,"",IF(B8&gt;'NH3 reconversion'!$D$27+HOME!$A$9,"",H8/(1+'NH3 reconversion'!$D$28)^C8)))</f>
        <v>5.6622473881177955</v>
      </c>
      <c r="K8" s="804">
        <f>IF(B8=HOME!$A$9,0,IF(B8&lt;HOME!$A$9,"",IF(B8&gt;'NH3 reconversion'!$D$27+HOME!$A$9,"", 'NH3 reconversion'!$D$37)))</f>
        <v>4156.4587203048704</v>
      </c>
      <c r="L8" s="805">
        <f>IF(B8=HOME!$A$9,K8/(1+'NH3 reconversion'!$D$28)^C8,IF(B8&lt;HOME!$A$9,"",IF(B8&gt;'NH3 reconversion'!$D$27+HOME!$A$9,"",K8/(1+'NH3 reconversion'!$D$28)^C8)))</f>
        <v>3278.8451390674009</v>
      </c>
      <c r="N8" s="88"/>
    </row>
    <row r="9" spans="1:14">
      <c r="B9" s="764">
        <v>2027</v>
      </c>
      <c r="C9" s="765">
        <f>IF(B9=HOME!$A$9,B9-HOME!$A$9,IF(B9&lt;HOME!$A$9,"",IF(B9&gt;HOME!$A$9+'NH3 reconversion'!$D$27,"",B9-HOME!$A$9)))</f>
        <v>5</v>
      </c>
      <c r="D9" s="766" cm="1">
        <f t="array" ref="D9">IF(B9=HOME!$A$9,"",IF(B9&lt;HOME!$A$9,"",IF(B9&gt;'NH3 reconversion'!$D$27+HOME!$A$9,"",INDEX(Tb_Fuel[],MATCH(B9,Tb_Fuel[Year],0),HLOOKUP('NH3 reconversion'!$E$12&amp;" - Grid",'Fuel Data'!$BB$2:$BX$3,2,FALSE)+1))))</f>
        <v>0.11</v>
      </c>
      <c r="E9" s="766">
        <f>IF(B9=HOME!$A$9,'NH3 reconversion'!$D$32,IF(B9&lt;HOME!$A$9,"",IF(B9&gt;'NH3 reconversion'!$D$27+HOME!$A$9,"",0)))</f>
        <v>0</v>
      </c>
      <c r="F9" s="766">
        <f>IF(B9=HOME!$A$9,0,IF(B9&lt;HOME!$A$9,"",IF(B9&gt;'NH3 reconversion'!$D$27+HOME!$A$9,"",'NH3 reconversion'!$D$32*'NH3 reconversion'!$D$26)))</f>
        <v>1.0925279848252434</v>
      </c>
      <c r="G9" s="766">
        <f>IF(B9=HOME!$A$9,0,IF(B9&lt;HOME!$A$9,"",IF(B9&gt;'NH3 reconversion'!$D$27+HOME!$A$9,"",D9/10^6*'NH3 reconversion'!$D$36*1000)))</f>
        <v>6.0852728977012482</v>
      </c>
      <c r="H9" s="766">
        <f>IF(B9=HOME!$A$9,SUM(E9:G9),IF(B9&lt;HOME!$A$9,"",IF(B9&gt;'NH3 reconversion'!$D$27+HOME!$A$9,"",SUM(E9:G9))))</f>
        <v>7.1778008825264914</v>
      </c>
      <c r="I9" s="766">
        <f>IF(B9=HOME!$A$9,G9/(1+'NH3 reconversion'!$D$28)^C9,IF(B9&lt;HOME!$A$9,"",IF(B9&gt;'NH3 reconversion'!$D$27+HOME!$A$9,"",G9/(1+'NH3 reconversion'!$D$28)^C9)))</f>
        <v>4.5240443235437304</v>
      </c>
      <c r="J9" s="766">
        <f>IF(B9=HOME!$A$9,H9/(1+'NH3 reconversion'!$D$28)^C9,IF(B9&lt;HOME!$A$9,"",IF(B9&gt;'NH3 reconversion'!$D$27+HOME!$A$9,"",H9/(1+'NH3 reconversion'!$D$28)^C9)))</f>
        <v>5.3362749516768462</v>
      </c>
      <c r="K9" s="804">
        <f>IF(B9=HOME!$A$9,0,IF(B9&lt;HOME!$A$9,"",IF(B9&gt;'NH3 reconversion'!$D$27+HOME!$A$9,"", 'NH3 reconversion'!$D$37)))</f>
        <v>4156.4587203048704</v>
      </c>
      <c r="L9" s="805">
        <f>IF(B9=HOME!$A$9,K9/(1+'NH3 reconversion'!$D$28)^C9,IF(B9&lt;HOME!$A$9,"",IF(B9&gt;'NH3 reconversion'!$D$27+HOME!$A$9,"",K9/(1+'NH3 reconversion'!$D$28)^C9)))</f>
        <v>3090.0838459919228</v>
      </c>
      <c r="N9" s="88"/>
    </row>
    <row r="10" spans="1:14">
      <c r="B10" s="764">
        <v>2028</v>
      </c>
      <c r="C10" s="765">
        <f>IF(B10=HOME!$A$9,B10-HOME!$A$9,IF(B10&lt;HOME!$A$9,"",IF(B10&gt;HOME!$A$9+'NH3 reconversion'!$D$27,"",B10-HOME!$A$9)))</f>
        <v>6</v>
      </c>
      <c r="D10" s="766" cm="1">
        <f t="array" ref="D10">IF(B10=HOME!$A$9,"",IF(B10&lt;HOME!$A$9,"",IF(B10&gt;'NH3 reconversion'!$D$27+HOME!$A$9,"",INDEX(Tb_Fuel[],MATCH(B10,Tb_Fuel[Year],0),HLOOKUP('NH3 reconversion'!$E$12&amp;" - Grid",'Fuel Data'!$BB$2:$BX$3,2,FALSE)+1))))</f>
        <v>0.11</v>
      </c>
      <c r="E10" s="766">
        <f>IF(B10=HOME!$A$9,'NH3 reconversion'!$D$32,IF(B10&lt;HOME!$A$9,"",IF(B10&gt;'NH3 reconversion'!$D$27+HOME!$A$9,"",0)))</f>
        <v>0</v>
      </c>
      <c r="F10" s="766">
        <f>IF(B10=HOME!$A$9,0,IF(B10&lt;HOME!$A$9,"",IF(B10&gt;'NH3 reconversion'!$D$27+HOME!$A$9,"",'NH3 reconversion'!$D$32*'NH3 reconversion'!$D$26)))</f>
        <v>1.0925279848252434</v>
      </c>
      <c r="G10" s="766">
        <f>IF(B10=HOME!$A$9,0,IF(B10&lt;HOME!$A$9,"",IF(B10&gt;'NH3 reconversion'!$D$27+HOME!$A$9,"",D10/10^6*'NH3 reconversion'!$D$36*1000)))</f>
        <v>6.0852728977012482</v>
      </c>
      <c r="H10" s="766">
        <f>IF(B10=HOME!$A$9,SUM(E10:G10),IF(B10&lt;HOME!$A$9,"",IF(B10&gt;'NH3 reconversion'!$D$27+HOME!$A$9,"",SUM(E10:G10))))</f>
        <v>7.1778008825264914</v>
      </c>
      <c r="I10" s="766">
        <f>IF(B10=HOME!$A$9,G10/(1+'NH3 reconversion'!$D$28)^C10,IF(B10&lt;HOME!$A$9,"",IF(B10&gt;'NH3 reconversion'!$D$27+HOME!$A$9,"",G10/(1+'NH3 reconversion'!$D$28)^C10)))</f>
        <v>4.2635976051952751</v>
      </c>
      <c r="J10" s="766">
        <f>IF(B10=HOME!$A$9,H10/(1+'NH3 reconversion'!$D$28)^C10,IF(B10&lt;HOME!$A$9,"",IF(B10&gt;'NH3 reconversion'!$D$27+HOME!$A$9,"",H10/(1+'NH3 reconversion'!$D$28)^C10)))</f>
        <v>5.0290685673060054</v>
      </c>
      <c r="K10" s="804">
        <f>IF(B10=HOME!$A$9,0,IF(B10&lt;HOME!$A$9,"",IF(B10&gt;'NH3 reconversion'!$D$27+HOME!$A$9,"", 'NH3 reconversion'!$D$37)))</f>
        <v>4156.4587203048704</v>
      </c>
      <c r="L10" s="805">
        <f>IF(B10=HOME!$A$9,K10/(1+'NH3 reconversion'!$D$28)^C10,IF(B10&lt;HOME!$A$9,"",IF(B10&gt;'NH3 reconversion'!$D$27+HOME!$A$9,"",K10/(1+'NH3 reconversion'!$D$28)^C10)))</f>
        <v>2912.1894356914154</v>
      </c>
      <c r="N10" s="88"/>
    </row>
    <row r="11" spans="1:14">
      <c r="B11" s="764">
        <v>2029</v>
      </c>
      <c r="C11" s="765">
        <f>IF(B11=HOME!$A$9,B11-HOME!$A$9,IF(B11&lt;HOME!$A$9,"",IF(B11&gt;HOME!$A$9+'NH3 reconversion'!$D$27,"",B11-HOME!$A$9)))</f>
        <v>7</v>
      </c>
      <c r="D11" s="766" cm="1">
        <f t="array" ref="D11">IF(B11=HOME!$A$9,"",IF(B11&lt;HOME!$A$9,"",IF(B11&gt;'NH3 reconversion'!$D$27+HOME!$A$9,"",INDEX(Tb_Fuel[],MATCH(B11,Tb_Fuel[Year],0),HLOOKUP('NH3 reconversion'!$E$12&amp;" - Grid",'Fuel Data'!$BB$2:$BX$3,2,FALSE)+1))))</f>
        <v>0.11</v>
      </c>
      <c r="E11" s="766">
        <f>IF(B11=HOME!$A$9,'NH3 reconversion'!$D$32,IF(B11&lt;HOME!$A$9,"",IF(B11&gt;'NH3 reconversion'!$D$27+HOME!$A$9,"",0)))</f>
        <v>0</v>
      </c>
      <c r="F11" s="766">
        <f>IF(B11=HOME!$A$9,0,IF(B11&lt;HOME!$A$9,"",IF(B11&gt;'NH3 reconversion'!$D$27+HOME!$A$9,"",'NH3 reconversion'!$D$32*'NH3 reconversion'!$D$26)))</f>
        <v>1.0925279848252434</v>
      </c>
      <c r="G11" s="766">
        <f>IF(B11=HOME!$A$9,0,IF(B11&lt;HOME!$A$9,"",IF(B11&gt;'NH3 reconversion'!$D$27+HOME!$A$9,"",D11/10^6*'NH3 reconversion'!$D$36*1000)))</f>
        <v>6.0852728977012482</v>
      </c>
      <c r="H11" s="766">
        <f>IF(B11=HOME!$A$9,SUM(E11:G11),IF(B11&lt;HOME!$A$9,"",IF(B11&gt;'NH3 reconversion'!$D$27+HOME!$A$9,"",SUM(E11:G11))))</f>
        <v>7.1778008825264914</v>
      </c>
      <c r="I11" s="766">
        <f>IF(B11=HOME!$A$9,G11/(1+'NH3 reconversion'!$D$28)^C11,IF(B11&lt;HOME!$A$9,"",IF(B11&gt;'NH3 reconversion'!$D$27+HOME!$A$9,"",G11/(1+'NH3 reconversion'!$D$28)^C11)))</f>
        <v>4.0181446597295194</v>
      </c>
      <c r="J11" s="766">
        <f>IF(B11=HOME!$A$9,H11/(1+'NH3 reconversion'!$D$28)^C11,IF(B11&lt;HOME!$A$9,"",IF(B11&gt;'NH3 reconversion'!$D$27+HOME!$A$9,"",H11/(1+'NH3 reconversion'!$D$28)^C11)))</f>
        <v>4.7395478838131799</v>
      </c>
      <c r="K11" s="804">
        <f>IF(B11=HOME!$A$9,0,IF(B11&lt;HOME!$A$9,"",IF(B11&gt;'NH3 reconversion'!$D$27+HOME!$A$9,"", 'NH3 reconversion'!$D$37)))</f>
        <v>4156.4587203048704</v>
      </c>
      <c r="L11" s="805">
        <f>IF(B11=HOME!$A$9,K11/(1+'NH3 reconversion'!$D$28)^C11,IF(B11&lt;HOME!$A$9,"",IF(B11&gt;'NH3 reconversion'!$D$27+HOME!$A$9,"",K11/(1+'NH3 reconversion'!$D$28)^C11)))</f>
        <v>2744.5363077616803</v>
      </c>
      <c r="N11" s="88"/>
    </row>
    <row r="12" spans="1:14">
      <c r="B12" s="764">
        <v>2030</v>
      </c>
      <c r="C12" s="765">
        <f>IF(B12=HOME!$A$9,B12-HOME!$A$9,IF(B12&lt;HOME!$A$9,"",IF(B12&gt;HOME!$A$9+'NH3 reconversion'!$D$27,"",B12-HOME!$A$9)))</f>
        <v>8</v>
      </c>
      <c r="D12" s="766" cm="1">
        <f t="array" ref="D12">IF(B12=HOME!$A$9,"",IF(B12&lt;HOME!$A$9,"",IF(B12&gt;'NH3 reconversion'!$D$27+HOME!$A$9,"",INDEX(Tb_Fuel[],MATCH(B12,Tb_Fuel[Year],0),HLOOKUP('NH3 reconversion'!$E$12&amp;" - Grid",'Fuel Data'!$BB$2:$BX$3,2,FALSE)+1))))</f>
        <v>0.11</v>
      </c>
      <c r="E12" s="766">
        <f>IF(B12=HOME!$A$9,'NH3 reconversion'!$D$32,IF(B12&lt;HOME!$A$9,"",IF(B12&gt;'NH3 reconversion'!$D$27+HOME!$A$9,"",0)))</f>
        <v>0</v>
      </c>
      <c r="F12" s="766">
        <f>IF(B12=HOME!$A$9,0,IF(B12&lt;HOME!$A$9,"",IF(B12&gt;'NH3 reconversion'!$D$27+HOME!$A$9,"",'NH3 reconversion'!$D$32*'NH3 reconversion'!$D$26)))</f>
        <v>1.0925279848252434</v>
      </c>
      <c r="G12" s="766">
        <f>IF(B12=HOME!$A$9,0,IF(B12&lt;HOME!$A$9,"",IF(B12&gt;'NH3 reconversion'!$D$27+HOME!$A$9,"",D12/10^6*'NH3 reconversion'!$D$36*1000)))</f>
        <v>6.0852728977012482</v>
      </c>
      <c r="H12" s="766">
        <f>IF(B12=HOME!$A$9,SUM(E12:G12),IF(B12&lt;HOME!$A$9,"",IF(B12&gt;'NH3 reconversion'!$D$27+HOME!$A$9,"",SUM(E12:G12))))</f>
        <v>7.1778008825264914</v>
      </c>
      <c r="I12" s="766">
        <f>IF(B12=HOME!$A$9,G12/(1+'NH3 reconversion'!$D$28)^C12,IF(B12&lt;HOME!$A$9,"",IF(B12&gt;'NH3 reconversion'!$D$27+HOME!$A$9,"",G12/(1+'NH3 reconversion'!$D$28)^C12)))</f>
        <v>3.7868223039714786</v>
      </c>
      <c r="J12" s="766">
        <f>IF(B12=HOME!$A$9,H12/(1+'NH3 reconversion'!$D$28)^C12,IF(B12&lt;HOME!$A$9,"",IF(B12&gt;'NH3 reconversion'!$D$27+HOME!$A$9,"",H12/(1+'NH3 reconversion'!$D$28)^C12)))</f>
        <v>4.4666947452242125</v>
      </c>
      <c r="K12" s="804">
        <f>IF(B12=HOME!$A$9,0,IF(B12&lt;HOME!$A$9,"",IF(B12&gt;'NH3 reconversion'!$D$27+HOME!$A$9,"", 'NH3 reconversion'!$D$37)))</f>
        <v>4156.4587203048704</v>
      </c>
      <c r="L12" s="805">
        <f>IF(B12=HOME!$A$9,K12/(1+'NH3 reconversion'!$D$28)^C12,IF(B12&lt;HOME!$A$9,"",IF(B12&gt;'NH3 reconversion'!$D$27+HOME!$A$9,"",K12/(1+'NH3 reconversion'!$D$28)^C12)))</f>
        <v>2586.5348772662333</v>
      </c>
      <c r="N12" s="88"/>
    </row>
    <row r="13" spans="1:14">
      <c r="B13" s="764">
        <v>2031</v>
      </c>
      <c r="C13" s="765">
        <f>IF(B13=HOME!$A$9,B13-HOME!$A$9,IF(B13&lt;HOME!$A$9,"",IF(B13&gt;HOME!$A$9+'NH3 reconversion'!$D$27,"",B13-HOME!$A$9)))</f>
        <v>9</v>
      </c>
      <c r="D13" s="766" cm="1">
        <f t="array" ref="D13">IF(B13=HOME!$A$9,"",IF(B13&lt;HOME!$A$9,"",IF(B13&gt;'NH3 reconversion'!$D$27+HOME!$A$9,"",INDEX(Tb_Fuel[],MATCH(B13,Tb_Fuel[Year],0),HLOOKUP('NH3 reconversion'!$E$12&amp;" - Grid",'Fuel Data'!$BB$2:$BX$3,2,FALSE)+1))))</f>
        <v>0.11</v>
      </c>
      <c r="E13" s="766">
        <f>IF(B13=HOME!$A$9,'NH3 reconversion'!$D$32,IF(B13&lt;HOME!$A$9,"",IF(B13&gt;'NH3 reconversion'!$D$27+HOME!$A$9,"",0)))</f>
        <v>0</v>
      </c>
      <c r="F13" s="766">
        <f>IF(B13=HOME!$A$9,0,IF(B13&lt;HOME!$A$9,"",IF(B13&gt;'NH3 reconversion'!$D$27+HOME!$A$9,"",'NH3 reconversion'!$D$32*'NH3 reconversion'!$D$26)))</f>
        <v>1.0925279848252434</v>
      </c>
      <c r="G13" s="766">
        <f>IF(B13=HOME!$A$9,0,IF(B13&lt;HOME!$A$9,"",IF(B13&gt;'NH3 reconversion'!$D$27+HOME!$A$9,"",D13/10^6*'NH3 reconversion'!$D$36*1000)))</f>
        <v>6.0852728977012482</v>
      </c>
      <c r="H13" s="766">
        <f>IF(B13=HOME!$A$9,SUM(E13:G13),IF(B13&lt;HOME!$A$9,"",IF(B13&gt;'NH3 reconversion'!$D$27+HOME!$A$9,"",SUM(E13:G13))))</f>
        <v>7.1778008825264914</v>
      </c>
      <c r="I13" s="766">
        <f>IF(B13=HOME!$A$9,G13/(1+'NH3 reconversion'!$D$28)^C13,IF(B13&lt;HOME!$A$9,"",IF(B13&gt;'NH3 reconversion'!$D$27+HOME!$A$9,"",G13/(1+'NH3 reconversion'!$D$28)^C13)))</f>
        <v>3.5688170477220091</v>
      </c>
      <c r="J13" s="766">
        <f>IF(B13=HOME!$A$9,H13/(1+'NH3 reconversion'!$D$28)^C13,IF(B13&lt;HOME!$A$9,"",IF(B13&gt;'NH3 reconversion'!$D$27+HOME!$A$9,"",H13/(1+'NH3 reconversion'!$D$28)^C13)))</f>
        <v>4.2095496102387342</v>
      </c>
      <c r="K13" s="804">
        <f>IF(B13=HOME!$A$9,0,IF(B13&lt;HOME!$A$9,"",IF(B13&gt;'NH3 reconversion'!$D$27+HOME!$A$9,"", 'NH3 reconversion'!$D$37)))</f>
        <v>4156.4587203048704</v>
      </c>
      <c r="L13" s="805">
        <f>IF(B13=HOME!$A$9,K13/(1+'NH3 reconversion'!$D$28)^C13,IF(B13&lt;HOME!$A$9,"",IF(B13&gt;'NH3 reconversion'!$D$27+HOME!$A$9,"",K13/(1+'NH3 reconversion'!$D$28)^C13)))</f>
        <v>2437.6295013458366</v>
      </c>
      <c r="N13" s="88"/>
    </row>
    <row r="14" spans="1:14">
      <c r="B14" s="764">
        <v>2032</v>
      </c>
      <c r="C14" s="765">
        <f>IF(B14=HOME!$A$9,B14-HOME!$A$9,IF(B14&lt;HOME!$A$9,"",IF(B14&gt;HOME!$A$9+'NH3 reconversion'!$D$27,"",B14-HOME!$A$9)))</f>
        <v>10</v>
      </c>
      <c r="D14" s="766" cm="1">
        <f t="array" ref="D14">IF(B14=HOME!$A$9,"",IF(B14&lt;HOME!$A$9,"",IF(B14&gt;'NH3 reconversion'!$D$27+HOME!$A$9,"",INDEX(Tb_Fuel[],MATCH(B14,Tb_Fuel[Year],0),HLOOKUP('NH3 reconversion'!$E$12&amp;" - Grid",'Fuel Data'!$BB$2:$BX$3,2,FALSE)+1))))</f>
        <v>0.11</v>
      </c>
      <c r="E14" s="766">
        <f>IF(B14=HOME!$A$9,'NH3 reconversion'!$D$32,IF(B14&lt;HOME!$A$9,"",IF(B14&gt;'NH3 reconversion'!$D$27+HOME!$A$9,"",0)))</f>
        <v>0</v>
      </c>
      <c r="F14" s="766">
        <f>IF(B14=HOME!$A$9,0,IF(B14&lt;HOME!$A$9,"",IF(B14&gt;'NH3 reconversion'!$D$27+HOME!$A$9,"",'NH3 reconversion'!$D$32*'NH3 reconversion'!$D$26)))</f>
        <v>1.0925279848252434</v>
      </c>
      <c r="G14" s="766">
        <f>IF(B14=HOME!$A$9,0,IF(B14&lt;HOME!$A$9,"",IF(B14&gt;'NH3 reconversion'!$D$27+HOME!$A$9,"",D14/10^6*'NH3 reconversion'!$D$36*1000)))</f>
        <v>6.0852728977012482</v>
      </c>
      <c r="H14" s="766">
        <f>IF(B14=HOME!$A$9,SUM(E14:G14),IF(B14&lt;HOME!$A$9,"",IF(B14&gt;'NH3 reconversion'!$D$27+HOME!$A$9,"",SUM(E14:G14))))</f>
        <v>7.1778008825264914</v>
      </c>
      <c r="I14" s="766">
        <f>IF(B14=HOME!$A$9,G14/(1+'NH3 reconversion'!$D$28)^C14,IF(B14&lt;HOME!$A$9,"",IF(B14&gt;'NH3 reconversion'!$D$27+HOME!$A$9,"",G14/(1+'NH3 reconversion'!$D$28)^C14)))</f>
        <v>3.3633622329607902</v>
      </c>
      <c r="J14" s="766">
        <f>IF(B14=HOME!$A$9,H14/(1+'NH3 reconversion'!$D$28)^C14,IF(B14&lt;HOME!$A$9,"",IF(B14&gt;'NH3 reconversion'!$D$27+HOME!$A$9,"",H14/(1+'NH3 reconversion'!$D$28)^C14)))</f>
        <v>3.9672081778159627</v>
      </c>
      <c r="K14" s="804">
        <f>IF(B14=HOME!$A$9,0,IF(B14&lt;HOME!$A$9,"",IF(B14&gt;'NH3 reconversion'!$D$27+HOME!$A$9,"", 'NH3 reconversion'!$D$37)))</f>
        <v>4156.4587203048704</v>
      </c>
      <c r="L14" s="805">
        <f>IF(B14=HOME!$A$9,K14/(1+'NH3 reconversion'!$D$28)^C14,IF(B14&lt;HOME!$A$9,"",IF(B14&gt;'NH3 reconversion'!$D$27+HOME!$A$9,"",K14/(1+'NH3 reconversion'!$D$28)^C14)))</f>
        <v>2297.2965251919686</v>
      </c>
      <c r="N14" s="88"/>
    </row>
    <row r="15" spans="1:14">
      <c r="B15" s="764">
        <v>2033</v>
      </c>
      <c r="C15" s="765">
        <f>IF(B15=HOME!$A$9,B15-HOME!$A$9,IF(B15&lt;HOME!$A$9,"",IF(B15&gt;HOME!$A$9+'NH3 reconversion'!$D$27,"",B15-HOME!$A$9)))</f>
        <v>11</v>
      </c>
      <c r="D15" s="766" cm="1">
        <f t="array" ref="D15">IF(B15=HOME!$A$9,"",IF(B15&lt;HOME!$A$9,"",IF(B15&gt;'NH3 reconversion'!$D$27+HOME!$A$9,"",INDEX(Tb_Fuel[],MATCH(B15,Tb_Fuel[Year],0),HLOOKUP('NH3 reconversion'!$E$12&amp;" - Grid",'Fuel Data'!$BB$2:$BX$3,2,FALSE)+1))))</f>
        <v>0.11</v>
      </c>
      <c r="E15" s="766">
        <f>IF(B15=HOME!$A$9,'NH3 reconversion'!$D$32,IF(B15&lt;HOME!$A$9,"",IF(B15&gt;'NH3 reconversion'!$D$27+HOME!$A$9,"",0)))</f>
        <v>0</v>
      </c>
      <c r="F15" s="766">
        <f>IF(B15=HOME!$A$9,0,IF(B15&lt;HOME!$A$9,"",IF(B15&gt;'NH3 reconversion'!$D$27+HOME!$A$9,"",'NH3 reconversion'!$D$32*'NH3 reconversion'!$D$26)))</f>
        <v>1.0925279848252434</v>
      </c>
      <c r="G15" s="766">
        <f>IF(B15=HOME!$A$9,0,IF(B15&lt;HOME!$A$9,"",IF(B15&gt;'NH3 reconversion'!$D$27+HOME!$A$9,"",D15/10^6*'NH3 reconversion'!$D$36*1000)))</f>
        <v>6.0852728977012482</v>
      </c>
      <c r="H15" s="766">
        <f>IF(B15=HOME!$A$9,SUM(E15:G15),IF(B15&lt;HOME!$A$9,"",IF(B15&gt;'NH3 reconversion'!$D$27+HOME!$A$9,"",SUM(E15:G15))))</f>
        <v>7.1778008825264914</v>
      </c>
      <c r="I15" s="766">
        <f>IF(B15=HOME!$A$9,G15/(1+'NH3 reconversion'!$D$28)^C15,IF(B15&lt;HOME!$A$9,"",IF(B15&gt;'NH3 reconversion'!$D$27+HOME!$A$9,"",G15/(1+'NH3 reconversion'!$D$28)^C15)))</f>
        <v>3.1697353377438109</v>
      </c>
      <c r="J15" s="766">
        <f>IF(B15=HOME!$A$9,H15/(1+'NH3 reconversion'!$D$28)^C15,IF(B15&lt;HOME!$A$9,"",IF(B15&gt;'NH3 reconversion'!$D$27+HOME!$A$9,"",H15/(1+'NH3 reconversion'!$D$28)^C15)))</f>
        <v>3.7388182070236402</v>
      </c>
      <c r="K15" s="804">
        <f>IF(B15=HOME!$A$9,0,IF(B15&lt;HOME!$A$9,"",IF(B15&gt;'NH3 reconversion'!$D$27+HOME!$A$9,"", 'NH3 reconversion'!$D$37)))</f>
        <v>4156.4587203048704</v>
      </c>
      <c r="L15" s="805">
        <f>IF(B15=HOME!$A$9,K15/(1+'NH3 reconversion'!$D$28)^C15,IF(B15&lt;HOME!$A$9,"",IF(B15&gt;'NH3 reconversion'!$D$27+HOME!$A$9,"",K15/(1+'NH3 reconversion'!$D$28)^C15)))</f>
        <v>2165.0424405125136</v>
      </c>
      <c r="N15" s="88"/>
    </row>
    <row r="16" spans="1:14">
      <c r="B16" s="764">
        <v>2034</v>
      </c>
      <c r="C16" s="765">
        <f>IF(B16=HOME!$A$9,B16-HOME!$A$9,IF(B16&lt;HOME!$A$9,"",IF(B16&gt;HOME!$A$9+'NH3 reconversion'!$D$27,"",B16-HOME!$A$9)))</f>
        <v>12</v>
      </c>
      <c r="D16" s="766" cm="1">
        <f t="array" ref="D16">IF(B16=HOME!$A$9,"",IF(B16&lt;HOME!$A$9,"",IF(B16&gt;'NH3 reconversion'!$D$27+HOME!$A$9,"",INDEX(Tb_Fuel[],MATCH(B16,Tb_Fuel[Year],0),HLOOKUP('NH3 reconversion'!$E$12&amp;" - Grid",'Fuel Data'!$BB$2:$BX$3,2,FALSE)+1))))</f>
        <v>0.11</v>
      </c>
      <c r="E16" s="766">
        <f>IF(B16=HOME!$A$9,'NH3 reconversion'!$D$32,IF(B16&lt;HOME!$A$9,"",IF(B16&gt;'NH3 reconversion'!$D$27+HOME!$A$9,"",0)))</f>
        <v>0</v>
      </c>
      <c r="F16" s="766">
        <f>IF(B16=HOME!$A$9,0,IF(B16&lt;HOME!$A$9,"",IF(B16&gt;'NH3 reconversion'!$D$27+HOME!$A$9,"",'NH3 reconversion'!$D$32*'NH3 reconversion'!$D$26)))</f>
        <v>1.0925279848252434</v>
      </c>
      <c r="G16" s="766">
        <f>IF(B16=HOME!$A$9,0,IF(B16&lt;HOME!$A$9,"",IF(B16&gt;'NH3 reconversion'!$D$27+HOME!$A$9,"",D16/10^6*'NH3 reconversion'!$D$36*1000)))</f>
        <v>6.0852728977012482</v>
      </c>
      <c r="H16" s="766">
        <f>IF(B16=HOME!$A$9,SUM(E16:G16),IF(B16&lt;HOME!$A$9,"",IF(B16&gt;'NH3 reconversion'!$D$27+HOME!$A$9,"",SUM(E16:G16))))</f>
        <v>7.1778008825264914</v>
      </c>
      <c r="I16" s="766">
        <f>IF(B16=HOME!$A$9,G16/(1+'NH3 reconversion'!$D$28)^C16,IF(B16&lt;HOME!$A$9,"",IF(B16&gt;'NH3 reconversion'!$D$27+HOME!$A$9,"",G16/(1+'NH3 reconversion'!$D$28)^C16)))</f>
        <v>2.9872554353139762</v>
      </c>
      <c r="J16" s="766">
        <f>IF(B16=HOME!$A$9,H16/(1+'NH3 reconversion'!$D$28)^C16,IF(B16&lt;HOME!$A$9,"",IF(B16&gt;'NH3 reconversion'!$D$27+HOME!$A$9,"",H16/(1+'NH3 reconversion'!$D$28)^C16)))</f>
        <v>3.5235765199665154</v>
      </c>
      <c r="K16" s="804">
        <f>IF(B16=HOME!$A$9,0,IF(B16&lt;HOME!$A$9,"",IF(B16&gt;'NH3 reconversion'!$D$27+HOME!$A$9,"", 'NH3 reconversion'!$D$37)))</f>
        <v>4156.4587203048704</v>
      </c>
      <c r="L16" s="805">
        <f>IF(B16=HOME!$A$9,K16/(1+'NH3 reconversion'!$D$28)^C16,IF(B16&lt;HOME!$A$9,"",IF(B16&gt;'NH3 reconversion'!$D$27+HOME!$A$9,"",K16/(1+'NH3 reconversion'!$D$28)^C16)))</f>
        <v>2040.4021500135643</v>
      </c>
      <c r="N16" s="88"/>
    </row>
    <row r="17" spans="2:14">
      <c r="B17" s="764">
        <v>2035</v>
      </c>
      <c r="C17" s="765">
        <f>IF(B17=HOME!$A$9,B17-HOME!$A$9,IF(B17&lt;HOME!$A$9,"",IF(B17&gt;HOME!$A$9+'NH3 reconversion'!$D$27,"",B17-HOME!$A$9)))</f>
        <v>13</v>
      </c>
      <c r="D17" s="766" cm="1">
        <f t="array" ref="D17">IF(B17=HOME!$A$9,"",IF(B17&lt;HOME!$A$9,"",IF(B17&gt;'NH3 reconversion'!$D$27+HOME!$A$9,"",INDEX(Tb_Fuel[],MATCH(B17,Tb_Fuel[Year],0),HLOOKUP('NH3 reconversion'!$E$12&amp;" - Grid",'Fuel Data'!$BB$2:$BX$3,2,FALSE)+1))))</f>
        <v>0.11</v>
      </c>
      <c r="E17" s="766">
        <f>IF(B17=HOME!$A$9,'NH3 reconversion'!$D$32,IF(B17&lt;HOME!$A$9,"",IF(B17&gt;'NH3 reconversion'!$D$27+HOME!$A$9,"",0)))</f>
        <v>0</v>
      </c>
      <c r="F17" s="766">
        <f>IF(B17=HOME!$A$9,0,IF(B17&lt;HOME!$A$9,"",IF(B17&gt;'NH3 reconversion'!$D$27+HOME!$A$9,"",'NH3 reconversion'!$D$32*'NH3 reconversion'!$D$26)))</f>
        <v>1.0925279848252434</v>
      </c>
      <c r="G17" s="766">
        <f>IF(B17=HOME!$A$9,0,IF(B17&lt;HOME!$A$9,"",IF(B17&gt;'NH3 reconversion'!$D$27+HOME!$A$9,"",D17/10^6*'NH3 reconversion'!$D$36*1000)))</f>
        <v>6.0852728977012482</v>
      </c>
      <c r="H17" s="766">
        <f>IF(B17=HOME!$A$9,SUM(E17:G17),IF(B17&lt;HOME!$A$9,"",IF(B17&gt;'NH3 reconversion'!$D$27+HOME!$A$9,"",SUM(E17:G17))))</f>
        <v>7.1778008825264914</v>
      </c>
      <c r="I17" s="766">
        <f>IF(B17=HOME!$A$9,G17/(1+'NH3 reconversion'!$D$28)^C17,IF(B17&lt;HOME!$A$9,"",IF(B17&gt;'NH3 reconversion'!$D$27+HOME!$A$9,"",G17/(1+'NH3 reconversion'!$D$28)^C17)))</f>
        <v>2.8152807994893032</v>
      </c>
      <c r="J17" s="766">
        <f>IF(B17=HOME!$A$9,H17/(1+'NH3 reconversion'!$D$28)^C17,IF(B17&lt;HOME!$A$9,"",IF(B17&gt;'NH3 reconversion'!$D$27+HOME!$A$9,"",H17/(1+'NH3 reconversion'!$D$28)^C17)))</f>
        <v>3.3207261772545538</v>
      </c>
      <c r="K17" s="804">
        <f>IF(B17=HOME!$A$9,0,IF(B17&lt;HOME!$A$9,"",IF(B17&gt;'NH3 reconversion'!$D$27+HOME!$A$9,"", 'NH3 reconversion'!$D$37)))</f>
        <v>4156.4587203048704</v>
      </c>
      <c r="L17" s="805">
        <f>IF(B17=HOME!$A$9,K17/(1+'NH3 reconversion'!$D$28)^C17,IF(B17&lt;HOME!$A$9,"",IF(B17&gt;'NH3 reconversion'!$D$27+HOME!$A$9,"",K17/(1+'NH3 reconversion'!$D$28)^C17)))</f>
        <v>1922.9373317940331</v>
      </c>
      <c r="N17" s="88"/>
    </row>
    <row r="18" spans="2:14">
      <c r="B18" s="764">
        <v>2036</v>
      </c>
      <c r="C18" s="765">
        <f>IF(B18=HOME!$A$9,B18-HOME!$A$9,IF(B18&lt;HOME!$A$9,"",IF(B18&gt;HOME!$A$9+'NH3 reconversion'!$D$27,"",B18-HOME!$A$9)))</f>
        <v>14</v>
      </c>
      <c r="D18" s="766" cm="1">
        <f t="array" ref="D18">IF(B18=HOME!$A$9,"",IF(B18&lt;HOME!$A$9,"",IF(B18&gt;'NH3 reconversion'!$D$27+HOME!$A$9,"",INDEX(Tb_Fuel[],MATCH(B18,Tb_Fuel[Year],0),HLOOKUP('NH3 reconversion'!$E$12&amp;" - Grid",'Fuel Data'!$BB$2:$BX$3,2,FALSE)+1))))</f>
        <v>0.11</v>
      </c>
      <c r="E18" s="766">
        <f>IF(B18=HOME!$A$9,'NH3 reconversion'!$D$32,IF(B18&lt;HOME!$A$9,"",IF(B18&gt;'NH3 reconversion'!$D$27+HOME!$A$9,"",0)))</f>
        <v>0</v>
      </c>
      <c r="F18" s="766">
        <f>IF(B18=HOME!$A$9,0,IF(B18&lt;HOME!$A$9,"",IF(B18&gt;'NH3 reconversion'!$D$27+HOME!$A$9,"",'NH3 reconversion'!$D$32*'NH3 reconversion'!$D$26)))</f>
        <v>1.0925279848252434</v>
      </c>
      <c r="G18" s="766">
        <f>IF(B18=HOME!$A$9,0,IF(B18&lt;HOME!$A$9,"",IF(B18&gt;'NH3 reconversion'!$D$27+HOME!$A$9,"",D18/10^6*'NH3 reconversion'!$D$36*1000)))</f>
        <v>6.0852728977012482</v>
      </c>
      <c r="H18" s="766">
        <f>IF(B18=HOME!$A$9,SUM(E18:G18),IF(B18&lt;HOME!$A$9,"",IF(B18&gt;'NH3 reconversion'!$D$27+HOME!$A$9,"",SUM(E18:G18))))</f>
        <v>7.1778008825264914</v>
      </c>
      <c r="I18" s="766">
        <f>IF(B18=HOME!$A$9,G18/(1+'NH3 reconversion'!$D$28)^C18,IF(B18&lt;HOME!$A$9,"",IF(B18&gt;'NH3 reconversion'!$D$27+HOME!$A$9,"",G18/(1+'NH3 reconversion'!$D$28)^C18)))</f>
        <v>2.653206647907592</v>
      </c>
      <c r="J18" s="766">
        <f>IF(B18=HOME!$A$9,H18/(1+'NH3 reconversion'!$D$28)^C18,IF(B18&lt;HOME!$A$9,"",IF(B18&gt;'NH3 reconversion'!$D$27+HOME!$A$9,"",H18/(1+'NH3 reconversion'!$D$28)^C18)))</f>
        <v>3.1295538160778844</v>
      </c>
      <c r="K18" s="804">
        <f>IF(B18=HOME!$A$9,0,IF(B18&lt;HOME!$A$9,"",IF(B18&gt;'NH3 reconversion'!$D$27+HOME!$A$9,"", 'NH3 reconversion'!$D$37)))</f>
        <v>4156.4587203048704</v>
      </c>
      <c r="L18" s="805">
        <f>IF(B18=HOME!$A$9,K18/(1+'NH3 reconversion'!$D$28)^C18,IF(B18&lt;HOME!$A$9,"",IF(B18&gt;'NH3 reconversion'!$D$27+HOME!$A$9,"",K18/(1+'NH3 reconversion'!$D$28)^C18)))</f>
        <v>1812.2348979011676</v>
      </c>
      <c r="N18" s="88"/>
    </row>
    <row r="19" spans="2:14">
      <c r="B19" s="764">
        <v>2037</v>
      </c>
      <c r="C19" s="765">
        <f>IF(B19=HOME!$A$9,B19-HOME!$A$9,IF(B19&lt;HOME!$A$9,"",IF(B19&gt;HOME!$A$9+'NH3 reconversion'!$D$27,"",B19-HOME!$A$9)))</f>
        <v>15</v>
      </c>
      <c r="D19" s="766" cm="1">
        <f t="array" ref="D19">IF(B19=HOME!$A$9,"",IF(B19&lt;HOME!$A$9,"",IF(B19&gt;'NH3 reconversion'!$D$27+HOME!$A$9,"",INDEX(Tb_Fuel[],MATCH(B19,Tb_Fuel[Year],0),HLOOKUP('NH3 reconversion'!$E$12&amp;" - Grid",'Fuel Data'!$BB$2:$BX$3,2,FALSE)+1))))</f>
        <v>0.11</v>
      </c>
      <c r="E19" s="766">
        <f>IF(B19=HOME!$A$9,'NH3 reconversion'!$D$32,IF(B19&lt;HOME!$A$9,"",IF(B19&gt;'NH3 reconversion'!$D$27+HOME!$A$9,"",0)))</f>
        <v>0</v>
      </c>
      <c r="F19" s="766">
        <f>IF(B19=HOME!$A$9,0,IF(B19&lt;HOME!$A$9,"",IF(B19&gt;'NH3 reconversion'!$D$27+HOME!$A$9,"",'NH3 reconversion'!$D$32*'NH3 reconversion'!$D$26)))</f>
        <v>1.0925279848252434</v>
      </c>
      <c r="G19" s="766">
        <f>IF(B19=HOME!$A$9,0,IF(B19&lt;HOME!$A$9,"",IF(B19&gt;'NH3 reconversion'!$D$27+HOME!$A$9,"",D19/10^6*'NH3 reconversion'!$D$36*1000)))</f>
        <v>6.0852728977012482</v>
      </c>
      <c r="H19" s="766">
        <f>IF(B19=HOME!$A$9,SUM(E19:G19),IF(B19&lt;HOME!$A$9,"",IF(B19&gt;'NH3 reconversion'!$D$27+HOME!$A$9,"",SUM(E19:G19))))</f>
        <v>7.1778008825264914</v>
      </c>
      <c r="I19" s="766">
        <f>IF(B19=HOME!$A$9,G19/(1+'NH3 reconversion'!$D$28)^C19,IF(B19&lt;HOME!$A$9,"",IF(B19&gt;'NH3 reconversion'!$D$27+HOME!$A$9,"",G19/(1+'NH3 reconversion'!$D$28)^C19)))</f>
        <v>2.5004630151912455</v>
      </c>
      <c r="J19" s="766">
        <f>IF(B19=HOME!$A$9,H19/(1+'NH3 reconversion'!$D$28)^C19,IF(B19&lt;HOME!$A$9,"",IF(B19&gt;'NH3 reconversion'!$D$27+HOME!$A$9,"",H19/(1+'NH3 reconversion'!$D$28)^C19)))</f>
        <v>2.9493871415272901</v>
      </c>
      <c r="K19" s="804">
        <f>IF(B19=HOME!$A$9,0,IF(B19&lt;HOME!$A$9,"",IF(B19&gt;'NH3 reconversion'!$D$27+HOME!$A$9,"", 'NH3 reconversion'!$D$37)))</f>
        <v>4156.4587203048704</v>
      </c>
      <c r="L19" s="805">
        <f>IF(B19=HOME!$A$9,K19/(1+'NH3 reconversion'!$D$28)^C19,IF(B19&lt;HOME!$A$9,"",IF(B19&gt;'NH3 reconversion'!$D$27+HOME!$A$9,"",K19/(1+'NH3 reconversion'!$D$28)^C19)))</f>
        <v>1707.9055416261631</v>
      </c>
      <c r="N19" s="88"/>
    </row>
    <row r="20" spans="2:14">
      <c r="B20" s="764">
        <v>2038</v>
      </c>
      <c r="C20" s="765">
        <f>IF(B20=HOME!$A$9,B20-HOME!$A$9,IF(B20&lt;HOME!$A$9,"",IF(B20&gt;HOME!$A$9+'NH3 reconversion'!$D$27,"",B20-HOME!$A$9)))</f>
        <v>16</v>
      </c>
      <c r="D20" s="766" cm="1">
        <f t="array" ref="D20">IF(B20=HOME!$A$9,"",IF(B20&lt;HOME!$A$9,"",IF(B20&gt;'NH3 reconversion'!$D$27+HOME!$A$9,"",INDEX(Tb_Fuel[],MATCH(B20,Tb_Fuel[Year],0),HLOOKUP('NH3 reconversion'!$E$12&amp;" - Grid",'Fuel Data'!$BB$2:$BX$3,2,FALSE)+1))))</f>
        <v>0.11</v>
      </c>
      <c r="E20" s="766">
        <f>IF(B20=HOME!$A$9,'NH3 reconversion'!$D$32,IF(B20&lt;HOME!$A$9,"",IF(B20&gt;'NH3 reconversion'!$D$27+HOME!$A$9,"",0)))</f>
        <v>0</v>
      </c>
      <c r="F20" s="766">
        <f>IF(B20=HOME!$A$9,0,IF(B20&lt;HOME!$A$9,"",IF(B20&gt;'NH3 reconversion'!$D$27+HOME!$A$9,"",'NH3 reconversion'!$D$32*'NH3 reconversion'!$D$26)))</f>
        <v>1.0925279848252434</v>
      </c>
      <c r="G20" s="766">
        <f>IF(B20=HOME!$A$9,0,IF(B20&lt;HOME!$A$9,"",IF(B20&gt;'NH3 reconversion'!$D$27+HOME!$A$9,"",D20/10^6*'NH3 reconversion'!$D$36*1000)))</f>
        <v>6.0852728977012482</v>
      </c>
      <c r="H20" s="766">
        <f>IF(B20=HOME!$A$9,SUM(E20:G20),IF(B20&lt;HOME!$A$9,"",IF(B20&gt;'NH3 reconversion'!$D$27+HOME!$A$9,"",SUM(E20:G20))))</f>
        <v>7.1778008825264914</v>
      </c>
      <c r="I20" s="766">
        <f>IF(B20=HOME!$A$9,G20/(1+'NH3 reconversion'!$D$28)^C20,IF(B20&lt;HOME!$A$9,"",IF(B20&gt;'NH3 reconversion'!$D$27+HOME!$A$9,"",G20/(1+'NH3 reconversion'!$D$28)^C20)))</f>
        <v>2.3565127485528046</v>
      </c>
      <c r="J20" s="766">
        <f>IF(B20=HOME!$A$9,H20/(1+'NH3 reconversion'!$D$28)^C20,IF(B20&lt;HOME!$A$9,"",IF(B20&gt;'NH3 reconversion'!$D$27+HOME!$A$9,"",H20/(1+'NH3 reconversion'!$D$28)^C20)))</f>
        <v>2.7795925623379754</v>
      </c>
      <c r="K20" s="804">
        <f>IF(B20=HOME!$A$9,0,IF(B20&lt;HOME!$A$9,"",IF(B20&gt;'NH3 reconversion'!$D$27+HOME!$A$9,"", 'NH3 reconversion'!$D$37)))</f>
        <v>4156.4587203048704</v>
      </c>
      <c r="L20" s="805">
        <f>IF(B20=HOME!$A$9,K20/(1+'NH3 reconversion'!$D$28)^C20,IF(B20&lt;HOME!$A$9,"",IF(B20&gt;'NH3 reconversion'!$D$27+HOME!$A$9,"",K20/(1+'NH3 reconversion'!$D$28)^C20)))</f>
        <v>1609.5823684311567</v>
      </c>
      <c r="N20" s="88"/>
    </row>
    <row r="21" spans="2:14">
      <c r="B21" s="764">
        <v>2039</v>
      </c>
      <c r="C21" s="765">
        <f>IF(B21=HOME!$A$9,B21-HOME!$A$9,IF(B21&lt;HOME!$A$9,"",IF(B21&gt;HOME!$A$9+'NH3 reconversion'!$D$27,"",B21-HOME!$A$9)))</f>
        <v>17</v>
      </c>
      <c r="D21" s="766" cm="1">
        <f t="array" ref="D21">IF(B21=HOME!$A$9,"",IF(B21&lt;HOME!$A$9,"",IF(B21&gt;'NH3 reconversion'!$D$27+HOME!$A$9,"",INDEX(Tb_Fuel[],MATCH(B21,Tb_Fuel[Year],0),HLOOKUP('NH3 reconversion'!$E$12&amp;" - Grid",'Fuel Data'!$BB$2:$BX$3,2,FALSE)+1))))</f>
        <v>0.11</v>
      </c>
      <c r="E21" s="766">
        <f>IF(B21=HOME!$A$9,'NH3 reconversion'!$D$32,IF(B21&lt;HOME!$A$9,"",IF(B21&gt;'NH3 reconversion'!$D$27+HOME!$A$9,"",0)))</f>
        <v>0</v>
      </c>
      <c r="F21" s="766">
        <f>IF(B21=HOME!$A$9,0,IF(B21&lt;HOME!$A$9,"",IF(B21&gt;'NH3 reconversion'!$D$27+HOME!$A$9,"",'NH3 reconversion'!$D$32*'NH3 reconversion'!$D$26)))</f>
        <v>1.0925279848252434</v>
      </c>
      <c r="G21" s="766">
        <f>IF(B21=HOME!$A$9,0,IF(B21&lt;HOME!$A$9,"",IF(B21&gt;'NH3 reconversion'!$D$27+HOME!$A$9,"",D21/10^6*'NH3 reconversion'!$D$36*1000)))</f>
        <v>6.0852728977012482</v>
      </c>
      <c r="H21" s="766">
        <f>IF(B21=HOME!$A$9,SUM(E21:G21),IF(B21&lt;HOME!$A$9,"",IF(B21&gt;'NH3 reconversion'!$D$27+HOME!$A$9,"",SUM(E21:G21))))</f>
        <v>7.1778008825264914</v>
      </c>
      <c r="I21" s="766">
        <f>IF(B21=HOME!$A$9,G21/(1+'NH3 reconversion'!$D$28)^C21,IF(B21&lt;HOME!$A$9,"",IF(B21&gt;'NH3 reconversion'!$D$27+HOME!$A$9,"",G21/(1+'NH3 reconversion'!$D$28)^C21)))</f>
        <v>2.2208496187923683</v>
      </c>
      <c r="J21" s="766">
        <f>IF(B21=HOME!$A$9,H21/(1+'NH3 reconversion'!$D$28)^C21,IF(B21&lt;HOME!$A$9,"",IF(B21&gt;'NH3 reconversion'!$D$27+HOME!$A$9,"",H21/(1+'NH3 reconversion'!$D$28)^C21)))</f>
        <v>2.6195729627422679</v>
      </c>
      <c r="K21" s="804">
        <f>IF(B21=HOME!$A$9,0,IF(B21&lt;HOME!$A$9,"",IF(B21&gt;'NH3 reconversion'!$D$27+HOME!$A$9,"", 'NH3 reconversion'!$D$37)))</f>
        <v>4156.4587203048704</v>
      </c>
      <c r="L21" s="805">
        <f>IF(B21=HOME!$A$9,K21/(1+'NH3 reconversion'!$D$28)^C21,IF(B21&lt;HOME!$A$9,"",IF(B21&gt;'NH3 reconversion'!$D$27+HOME!$A$9,"",K21/(1+'NH3 reconversion'!$D$28)^C21)))</f>
        <v>1516.9196056930018</v>
      </c>
      <c r="N21" s="88"/>
    </row>
    <row r="22" spans="2:14">
      <c r="B22" s="764">
        <v>2040</v>
      </c>
      <c r="C22" s="765">
        <f>IF(B22=HOME!$A$9,B22-HOME!$A$9,IF(B22&lt;HOME!$A$9,"",IF(B22&gt;HOME!$A$9+'NH3 reconversion'!$D$27,"",B22-HOME!$A$9)))</f>
        <v>18</v>
      </c>
      <c r="D22" s="766" cm="1">
        <f t="array" ref="D22">IF(B22=HOME!$A$9,"",IF(B22&lt;HOME!$A$9,"",IF(B22&gt;'NH3 reconversion'!$D$27+HOME!$A$9,"",INDEX(Tb_Fuel[],MATCH(B22,Tb_Fuel[Year],0),HLOOKUP('NH3 reconversion'!$E$12&amp;" - Grid",'Fuel Data'!$BB$2:$BX$3,2,FALSE)+1))))</f>
        <v>0.11</v>
      </c>
      <c r="E22" s="766">
        <f>IF(B22=HOME!$A$9,'NH3 reconversion'!$D$32,IF(B22&lt;HOME!$A$9,"",IF(B22&gt;'NH3 reconversion'!$D$27+HOME!$A$9,"",0)))</f>
        <v>0</v>
      </c>
      <c r="F22" s="766">
        <f>IF(B22=HOME!$A$9,0,IF(B22&lt;HOME!$A$9,"",IF(B22&gt;'NH3 reconversion'!$D$27+HOME!$A$9,"",'NH3 reconversion'!$D$32*'NH3 reconversion'!$D$26)))</f>
        <v>1.0925279848252434</v>
      </c>
      <c r="G22" s="766">
        <f>IF(B22=HOME!$A$9,0,IF(B22&lt;HOME!$A$9,"",IF(B22&gt;'NH3 reconversion'!$D$27+HOME!$A$9,"",D22/10^6*'NH3 reconversion'!$D$36*1000)))</f>
        <v>6.0852728977012482</v>
      </c>
      <c r="H22" s="766">
        <f>IF(B22=HOME!$A$9,SUM(E22:G22),IF(B22&lt;HOME!$A$9,"",IF(B22&gt;'NH3 reconversion'!$D$27+HOME!$A$9,"",SUM(E22:G22))))</f>
        <v>7.1778008825264914</v>
      </c>
      <c r="I22" s="766">
        <f>IF(B22=HOME!$A$9,G22/(1+'NH3 reconversion'!$D$28)^C22,IF(B22&lt;HOME!$A$9,"",IF(B22&gt;'NH3 reconversion'!$D$27+HOME!$A$9,"",G22/(1+'NH3 reconversion'!$D$28)^C22)))</f>
        <v>2.0929965400438353</v>
      </c>
      <c r="J22" s="766">
        <f>IF(B22=HOME!$A$9,H22/(1+'NH3 reconversion'!$D$28)^C22,IF(B22&lt;HOME!$A$9,"",IF(B22&gt;'NH3 reconversion'!$D$27+HOME!$A$9,"",H22/(1+'NH3 reconversion'!$D$28)^C22)))</f>
        <v>2.468765602595508</v>
      </c>
      <c r="K22" s="804">
        <f>IF(B22=HOME!$A$9,0,IF(B22&lt;HOME!$A$9,"",IF(B22&gt;'NH3 reconversion'!$D$27+HOME!$A$9,"", 'NH3 reconversion'!$D$37)))</f>
        <v>4156.4587203048704</v>
      </c>
      <c r="L22" s="805">
        <f>IF(B22=HOME!$A$9,K22/(1+'NH3 reconversion'!$D$28)^C22,IF(B22&lt;HOME!$A$9,"",IF(B22&gt;'NH3 reconversion'!$D$27+HOME!$A$9,"",K22/(1+'NH3 reconversion'!$D$28)^C22)))</f>
        <v>1429.5913867263698</v>
      </c>
      <c r="N22" s="88"/>
    </row>
    <row r="23" spans="2:14">
      <c r="B23" s="764">
        <v>2041</v>
      </c>
      <c r="C23" s="765">
        <f>IF(B23=HOME!$A$9,B23-HOME!$A$9,IF(B23&lt;HOME!$A$9,"",IF(B23&gt;HOME!$A$9+'NH3 reconversion'!$D$27,"",B23-HOME!$A$9)))</f>
        <v>19</v>
      </c>
      <c r="D23" s="766" cm="1">
        <f t="array" ref="D23">IF(B23=HOME!$A$9,"",IF(B23&lt;HOME!$A$9,"",IF(B23&gt;'NH3 reconversion'!$D$27+HOME!$A$9,"",INDEX(Tb_Fuel[],MATCH(B23,Tb_Fuel[Year],0),HLOOKUP('NH3 reconversion'!$E$12&amp;" - Grid",'Fuel Data'!$BB$2:$BX$3,2,FALSE)+1))))</f>
        <v>0.11</v>
      </c>
      <c r="E23" s="766">
        <f>IF(B23=HOME!$A$9,'NH3 reconversion'!$D$32,IF(B23&lt;HOME!$A$9,"",IF(B23&gt;'NH3 reconversion'!$D$27+HOME!$A$9,"",0)))</f>
        <v>0</v>
      </c>
      <c r="F23" s="766">
        <f>IF(B23=HOME!$A$9,0,IF(B23&lt;HOME!$A$9,"",IF(B23&gt;'NH3 reconversion'!$D$27+HOME!$A$9,"",'NH3 reconversion'!$D$32*'NH3 reconversion'!$D$26)))</f>
        <v>1.0925279848252434</v>
      </c>
      <c r="G23" s="766">
        <f>IF(B23=HOME!$A$9,0,IF(B23&lt;HOME!$A$9,"",IF(B23&gt;'NH3 reconversion'!$D$27+HOME!$A$9,"",D23/10^6*'NH3 reconversion'!$D$36*1000)))</f>
        <v>6.0852728977012482</v>
      </c>
      <c r="H23" s="766">
        <f>IF(B23=HOME!$A$9,SUM(E23:G23),IF(B23&lt;HOME!$A$9,"",IF(B23&gt;'NH3 reconversion'!$D$27+HOME!$A$9,"",SUM(E23:G23))))</f>
        <v>7.1778008825264914</v>
      </c>
      <c r="I23" s="766">
        <f>IF(B23=HOME!$A$9,G23/(1+'NH3 reconversion'!$D$28)^C23,IF(B23&lt;HOME!$A$9,"",IF(B23&gt;'NH3 reconversion'!$D$27+HOME!$A$9,"",G23/(1+'NH3 reconversion'!$D$28)^C23)))</f>
        <v>1.9725038920093674</v>
      </c>
      <c r="J23" s="766">
        <f>IF(B23=HOME!$A$9,H23/(1+'NH3 reconversion'!$D$28)^C23,IF(B23&lt;HOME!$A$9,"",IF(B23&gt;'NH3 reconversion'!$D$27+HOME!$A$9,"",H23/(1+'NH3 reconversion'!$D$28)^C23)))</f>
        <v>2.3266401383905304</v>
      </c>
      <c r="K23" s="804">
        <f>IF(B23=HOME!$A$9,0,IF(B23&lt;HOME!$A$9,"",IF(B23&gt;'NH3 reconversion'!$D$27+HOME!$A$9,"", 'NH3 reconversion'!$D$37)))</f>
        <v>4156.4587203048704</v>
      </c>
      <c r="L23" s="805">
        <f>IF(B23=HOME!$A$9,K23/(1+'NH3 reconversion'!$D$28)^C23,IF(B23&lt;HOME!$A$9,"",IF(B23&gt;'NH3 reconversion'!$D$27+HOME!$A$9,"",K23/(1+'NH3 reconversion'!$D$28)^C23)))</f>
        <v>1347.2906048099696</v>
      </c>
      <c r="N23" s="88"/>
    </row>
    <row r="24" spans="2:14">
      <c r="B24" s="764">
        <v>2042</v>
      </c>
      <c r="C24" s="765">
        <f>IF(B24=HOME!$A$9,B24-HOME!$A$9,IF(B24&lt;HOME!$A$9,"",IF(B24&gt;HOME!$A$9+'NH3 reconversion'!$D$27,"",B24-HOME!$A$9)))</f>
        <v>20</v>
      </c>
      <c r="D24" s="766" cm="1">
        <f t="array" ref="D24">IF(B24=HOME!$A$9,"",IF(B24&lt;HOME!$A$9,"",IF(B24&gt;'NH3 reconversion'!$D$27+HOME!$A$9,"",INDEX(Tb_Fuel[],MATCH(B24,Tb_Fuel[Year],0),HLOOKUP('NH3 reconversion'!$E$12&amp;" - Grid",'Fuel Data'!$BB$2:$BX$3,2,FALSE)+1))))</f>
        <v>0.11</v>
      </c>
      <c r="E24" s="766">
        <f>IF(B24=HOME!$A$9,'NH3 reconversion'!$D$32,IF(B24&lt;HOME!$A$9,"",IF(B24&gt;'NH3 reconversion'!$D$27+HOME!$A$9,"",0)))</f>
        <v>0</v>
      </c>
      <c r="F24" s="766">
        <f>IF(B24=HOME!$A$9,0,IF(B24&lt;HOME!$A$9,"",IF(B24&gt;'NH3 reconversion'!$D$27+HOME!$A$9,"",'NH3 reconversion'!$D$32*'NH3 reconversion'!$D$26)))</f>
        <v>1.0925279848252434</v>
      </c>
      <c r="G24" s="766">
        <f>IF(B24=HOME!$A$9,0,IF(B24&lt;HOME!$A$9,"",IF(B24&gt;'NH3 reconversion'!$D$27+HOME!$A$9,"",D24/10^6*'NH3 reconversion'!$D$36*1000)))</f>
        <v>6.0852728977012482</v>
      </c>
      <c r="H24" s="766">
        <f>IF(B24=HOME!$A$9,SUM(E24:G24),IF(B24&lt;HOME!$A$9,"",IF(B24&gt;'NH3 reconversion'!$D$27+HOME!$A$9,"",SUM(E24:G24))))</f>
        <v>7.1778008825264914</v>
      </c>
      <c r="I24" s="766">
        <f>IF(B24=HOME!$A$9,G24/(1+'NH3 reconversion'!$D$28)^C24,IF(B24&lt;HOME!$A$9,"",IF(B24&gt;'NH3 reconversion'!$D$27+HOME!$A$9,"",G24/(1+'NH3 reconversion'!$D$28)^C24)))</f>
        <v>1.8589479387818835</v>
      </c>
      <c r="J24" s="766">
        <f>IF(B24=HOME!$A$9,H24/(1+'NH3 reconversion'!$D$28)^C24,IF(B24&lt;HOME!$A$9,"",IF(B24&gt;'NH3 reconversion'!$D$27+HOME!$A$9,"",H24/(1+'NH3 reconversion'!$D$28)^C24)))</f>
        <v>2.192696758201242</v>
      </c>
      <c r="K24" s="804">
        <f>IF(B24=HOME!$A$9,0,IF(B24&lt;HOME!$A$9,"",IF(B24&gt;'NH3 reconversion'!$D$27+HOME!$A$9,"", 'NH3 reconversion'!$D$37)))</f>
        <v>4156.4587203048704</v>
      </c>
      <c r="L24" s="805">
        <f>IF(B24=HOME!$A$9,K24/(1+'NH3 reconversion'!$D$28)^C24,IF(B24&lt;HOME!$A$9,"",IF(B24&gt;'NH3 reconversion'!$D$27+HOME!$A$9,"",K24/(1+'NH3 reconversion'!$D$28)^C24)))</f>
        <v>1269.7278331858399</v>
      </c>
      <c r="N24" s="88"/>
    </row>
    <row r="25" spans="2:14">
      <c r="B25" s="764">
        <v>2043</v>
      </c>
      <c r="C25" s="765">
        <f>IF(B25=HOME!$A$9,B25-HOME!$A$9,IF(B25&lt;HOME!$A$9,"",IF(B25&gt;HOME!$A$9+'NH3 reconversion'!$D$27,"",B25-HOME!$A$9)))</f>
        <v>21</v>
      </c>
      <c r="D25" s="766" cm="1">
        <f t="array" ref="D25">IF(B25=HOME!$A$9,"",IF(B25&lt;HOME!$A$9,"",IF(B25&gt;'NH3 reconversion'!$D$27+HOME!$A$9,"",INDEX(Tb_Fuel[],MATCH(B25,Tb_Fuel[Year],0),HLOOKUP('NH3 reconversion'!$E$12&amp;" - Grid",'Fuel Data'!$BB$2:$BX$3,2,FALSE)+1))))</f>
        <v>0.11</v>
      </c>
      <c r="E25" s="766">
        <f>IF(B25=HOME!$A$9,'NH3 reconversion'!$D$32,IF(B25&lt;HOME!$A$9,"",IF(B25&gt;'NH3 reconversion'!$D$27+HOME!$A$9,"",0)))</f>
        <v>0</v>
      </c>
      <c r="F25" s="766">
        <f>IF(B25=HOME!$A$9,0,IF(B25&lt;HOME!$A$9,"",IF(B25&gt;'NH3 reconversion'!$D$27+HOME!$A$9,"",'NH3 reconversion'!$D$32*'NH3 reconversion'!$D$26)))</f>
        <v>1.0925279848252434</v>
      </c>
      <c r="G25" s="766">
        <f>IF(B25=HOME!$A$9,0,IF(B25&lt;HOME!$A$9,"",IF(B25&gt;'NH3 reconversion'!$D$27+HOME!$A$9,"",D25/10^6*'NH3 reconversion'!$D$36*1000)))</f>
        <v>6.0852728977012482</v>
      </c>
      <c r="H25" s="766">
        <f>IF(B25=HOME!$A$9,SUM(E25:G25),IF(B25&lt;HOME!$A$9,"",IF(B25&gt;'NH3 reconversion'!$D$27+HOME!$A$9,"",SUM(E25:G25))))</f>
        <v>7.1778008825264914</v>
      </c>
      <c r="I25" s="766">
        <f>IF(B25=HOME!$A$9,G25/(1+'NH3 reconversion'!$D$28)^C25,IF(B25&lt;HOME!$A$9,"",IF(B25&gt;'NH3 reconversion'!$D$27+HOME!$A$9,"",G25/(1+'NH3 reconversion'!$D$28)^C25)))</f>
        <v>1.751929338695065</v>
      </c>
      <c r="J25" s="766">
        <f>IF(B25=HOME!$A$9,H25/(1+'NH3 reconversion'!$D$28)^C25,IF(B25&lt;HOME!$A$9,"",IF(B25&gt;'NH3 reconversion'!$D$27+HOME!$A$9,"",H25/(1+'NH3 reconversion'!$D$28)^C25)))</f>
        <v>2.0664644239964618</v>
      </c>
      <c r="K25" s="804">
        <f>IF(B25=HOME!$A$9,0,IF(B25&lt;HOME!$A$9,"",IF(B25&gt;'NH3 reconversion'!$D$27+HOME!$A$9,"", 'NH3 reconversion'!$D$37)))</f>
        <v>4156.4587203048704</v>
      </c>
      <c r="L25" s="805">
        <f>IF(B25=HOME!$A$9,K25/(1+'NH3 reconversion'!$D$28)^C25,IF(B25&lt;HOME!$A$9,"",IF(B25&gt;'NH3 reconversion'!$D$27+HOME!$A$9,"",K25/(1+'NH3 reconversion'!$D$28)^C25)))</f>
        <v>1196.6303072336827</v>
      </c>
    </row>
    <row r="26" spans="2:14">
      <c r="B26" s="764">
        <v>2044</v>
      </c>
      <c r="C26" s="765">
        <f>IF(B26=HOME!$A$9,B26-HOME!$A$9,IF(B26&lt;HOME!$A$9,"",IF(B26&gt;HOME!$A$9+'NH3 reconversion'!$D$27,"",B26-HOME!$A$9)))</f>
        <v>22</v>
      </c>
      <c r="D26" s="766" cm="1">
        <f t="array" ref="D26">IF(B26=HOME!$A$9,"",IF(B26&lt;HOME!$A$9,"",IF(B26&gt;'NH3 reconversion'!$D$27+HOME!$A$9,"",INDEX(Tb_Fuel[],MATCH(B26,Tb_Fuel[Year],0),HLOOKUP('NH3 reconversion'!$E$12&amp;" - Grid",'Fuel Data'!$BB$2:$BX$3,2,FALSE)+1))))</f>
        <v>0.11</v>
      </c>
      <c r="E26" s="766">
        <f>IF(B26=HOME!$A$9,'NH3 reconversion'!$D$32,IF(B26&lt;HOME!$A$9,"",IF(B26&gt;'NH3 reconversion'!$D$27+HOME!$A$9,"",0)))</f>
        <v>0</v>
      </c>
      <c r="F26" s="766">
        <f>IF(B26=HOME!$A$9,0,IF(B26&lt;HOME!$A$9,"",IF(B26&gt;'NH3 reconversion'!$D$27+HOME!$A$9,"",'NH3 reconversion'!$D$32*'NH3 reconversion'!$D$26)))</f>
        <v>1.0925279848252434</v>
      </c>
      <c r="G26" s="766">
        <f>IF(B26=HOME!$A$9,0,IF(B26&lt;HOME!$A$9,"",IF(B26&gt;'NH3 reconversion'!$D$27+HOME!$A$9,"",D26/10^6*'NH3 reconversion'!$D$36*1000)))</f>
        <v>6.0852728977012482</v>
      </c>
      <c r="H26" s="766">
        <f>IF(B26=HOME!$A$9,SUM(E26:G26),IF(B26&lt;HOME!$A$9,"",IF(B26&gt;'NH3 reconversion'!$D$27+HOME!$A$9,"",SUM(E26:G26))))</f>
        <v>7.1778008825264914</v>
      </c>
      <c r="I26" s="766">
        <f>IF(B26=HOME!$A$9,G26/(1+'NH3 reconversion'!$D$28)^C26,IF(B26&lt;HOME!$A$9,"",IF(B26&gt;'NH3 reconversion'!$D$27+HOME!$A$9,"",G26/(1+'NH3 reconversion'!$D$28)^C26)))</f>
        <v>1.6510717399604669</v>
      </c>
      <c r="J26" s="766">
        <f>IF(B26=HOME!$A$9,H26/(1+'NH3 reconversion'!$D$28)^C26,IF(B26&lt;HOME!$A$9,"",IF(B26&gt;'NH3 reconversion'!$D$27+HOME!$A$9,"",H26/(1+'NH3 reconversion'!$D$28)^C26)))</f>
        <v>1.9474992151427764</v>
      </c>
      <c r="K26" s="804">
        <f>IF(B26=HOME!$A$9,0,IF(B26&lt;HOME!$A$9,"",IF(B26&gt;'NH3 reconversion'!$D$27+HOME!$A$9,"", 'NH3 reconversion'!$D$37)))</f>
        <v>4156.4587203048704</v>
      </c>
      <c r="L26" s="805">
        <f>IF(B26=HOME!$A$9,K26/(1+'NH3 reconversion'!$D$28)^C26,IF(B26&lt;HOME!$A$9,"",IF(B26&gt;'NH3 reconversion'!$D$27+HOME!$A$9,"",K26/(1+'NH3 reconversion'!$D$28)^C26)))</f>
        <v>1127.7409652408546</v>
      </c>
    </row>
    <row r="27" spans="2:14">
      <c r="B27" s="764">
        <v>2045</v>
      </c>
      <c r="C27" s="765">
        <f>IF(B27=HOME!$A$9,B27-HOME!$A$9,IF(B27&lt;HOME!$A$9,"",IF(B27&gt;HOME!$A$9+'NH3 reconversion'!$D$27,"",B27-HOME!$A$9)))</f>
        <v>23</v>
      </c>
      <c r="D27" s="766" cm="1">
        <f t="array" ref="D27">IF(B27=HOME!$A$9,"",IF(B27&lt;HOME!$A$9,"",IF(B27&gt;'NH3 reconversion'!$D$27+HOME!$A$9,"",INDEX(Tb_Fuel[],MATCH(B27,Tb_Fuel[Year],0),HLOOKUP('NH3 reconversion'!$E$12&amp;" - Grid",'Fuel Data'!$BB$2:$BX$3,2,FALSE)+1))))</f>
        <v>0.11</v>
      </c>
      <c r="E27" s="766">
        <f>IF(B27=HOME!$A$9,'NH3 reconversion'!$D$32,IF(B27&lt;HOME!$A$9,"",IF(B27&gt;'NH3 reconversion'!$D$27+HOME!$A$9,"",0)))</f>
        <v>0</v>
      </c>
      <c r="F27" s="766">
        <f>IF(B27=HOME!$A$9,0,IF(B27&lt;HOME!$A$9,"",IF(B27&gt;'NH3 reconversion'!$D$27+HOME!$A$9,"",'NH3 reconversion'!$D$32*'NH3 reconversion'!$D$26)))</f>
        <v>1.0925279848252434</v>
      </c>
      <c r="G27" s="766">
        <f>IF(B27=HOME!$A$9,0,IF(B27&lt;HOME!$A$9,"",IF(B27&gt;'NH3 reconversion'!$D$27+HOME!$A$9,"",D27/10^6*'NH3 reconversion'!$D$36*1000)))</f>
        <v>6.0852728977012482</v>
      </c>
      <c r="H27" s="766">
        <f>IF(B27=HOME!$A$9,SUM(E27:G27),IF(B27&lt;HOME!$A$9,"",IF(B27&gt;'NH3 reconversion'!$D$27+HOME!$A$9,"",SUM(E27:G27))))</f>
        <v>7.1778008825264914</v>
      </c>
      <c r="I27" s="766">
        <f>IF(B27=HOME!$A$9,G27/(1+'NH3 reconversion'!$D$28)^C27,IF(B27&lt;HOME!$A$9,"",IF(B27&gt;'NH3 reconversion'!$D$27+HOME!$A$9,"",G27/(1+'NH3 reconversion'!$D$28)^C27)))</f>
        <v>1.5560204571530205</v>
      </c>
      <c r="J27" s="766">
        <f>IF(B27=HOME!$A$9,H27/(1+'NH3 reconversion'!$D$28)^C27,IF(B27&lt;HOME!$A$9,"",IF(B27&gt;'NH3 reconversion'!$D$27+HOME!$A$9,"",H27/(1+'NH3 reconversion'!$D$28)^C27)))</f>
        <v>1.835382767271015</v>
      </c>
      <c r="K27" s="804">
        <f>IF(B27=HOME!$A$9,0,IF(B27&lt;HOME!$A$9,"",IF(B27&gt;'NH3 reconversion'!$D$27+HOME!$A$9,"", 'NH3 reconversion'!$D$37)))</f>
        <v>4156.4587203048704</v>
      </c>
      <c r="L27" s="805">
        <f>IF(B27=HOME!$A$9,K27/(1+'NH3 reconversion'!$D$28)^C27,IF(B27&lt;HOME!$A$9,"",IF(B27&gt;'NH3 reconversion'!$D$27+HOME!$A$9,"",K27/(1+'NH3 reconversion'!$D$28)^C27)))</f>
        <v>1062.8175443946971</v>
      </c>
    </row>
    <row r="28" spans="2:14">
      <c r="B28" s="764">
        <v>2046</v>
      </c>
      <c r="C28" s="765">
        <f>IF(B28=HOME!$A$9,B28-HOME!$A$9,IF(B28&lt;HOME!$A$9,"",IF(B28&gt;HOME!$A$9+'NH3 reconversion'!$D$27,"",B28-HOME!$A$9)))</f>
        <v>24</v>
      </c>
      <c r="D28" s="766" cm="1">
        <f t="array" ref="D28">IF(B28=HOME!$A$9,"",IF(B28&lt;HOME!$A$9,"",IF(B28&gt;'NH3 reconversion'!$D$27+HOME!$A$9,"",INDEX(Tb_Fuel[],MATCH(B28,Tb_Fuel[Year],0),HLOOKUP('NH3 reconversion'!$E$12&amp;" - Grid",'Fuel Data'!$BB$2:$BX$3,2,FALSE)+1))))</f>
        <v>0.11</v>
      </c>
      <c r="E28" s="766">
        <f>IF(B28=HOME!$A$9,'NH3 reconversion'!$D$32,IF(B28&lt;HOME!$A$9,"",IF(B28&gt;'NH3 reconversion'!$D$27+HOME!$A$9,"",0)))</f>
        <v>0</v>
      </c>
      <c r="F28" s="766">
        <f>IF(B28=HOME!$A$9,0,IF(B28&lt;HOME!$A$9,"",IF(B28&gt;'NH3 reconversion'!$D$27+HOME!$A$9,"",'NH3 reconversion'!$D$32*'NH3 reconversion'!$D$26)))</f>
        <v>1.0925279848252434</v>
      </c>
      <c r="G28" s="766">
        <f>IF(B28=HOME!$A$9,0,IF(B28&lt;HOME!$A$9,"",IF(B28&gt;'NH3 reconversion'!$D$27+HOME!$A$9,"",D28/10^6*'NH3 reconversion'!$D$36*1000)))</f>
        <v>6.0852728977012482</v>
      </c>
      <c r="H28" s="766">
        <f>IF(B28=HOME!$A$9,SUM(E28:G28),IF(B28&lt;HOME!$A$9,"",IF(B28&gt;'NH3 reconversion'!$D$27+HOME!$A$9,"",SUM(E28:G28))))</f>
        <v>7.1778008825264914</v>
      </c>
      <c r="I28" s="766">
        <f>IF(B28=HOME!$A$9,G28/(1+'NH3 reconversion'!$D$28)^C28,IF(B28&lt;HOME!$A$9,"",IF(B28&gt;'NH3 reconversion'!$D$27+HOME!$A$9,"",G28/(1+'NH3 reconversion'!$D$28)^C28)))</f>
        <v>1.4664412238905304</v>
      </c>
      <c r="J28" s="766">
        <f>IF(B28=HOME!$A$9,H28/(1+'NH3 reconversion'!$D$28)^C28,IF(B28&lt;HOME!$A$9,"",IF(B28&gt;'NH3 reconversion'!$D$27+HOME!$A$9,"",H28/(1+'NH3 reconversion'!$D$28)^C28)))</f>
        <v>1.7297208010163152</v>
      </c>
      <c r="K28" s="804">
        <f>IF(B28=HOME!$A$9,0,IF(B28&lt;HOME!$A$9,"",IF(B28&gt;'NH3 reconversion'!$D$27+HOME!$A$9,"", 'NH3 reconversion'!$D$37)))</f>
        <v>4156.4587203048704</v>
      </c>
      <c r="L28" s="805">
        <f>IF(B28=HOME!$A$9,K28/(1+'NH3 reconversion'!$D$28)^C28,IF(B28&lt;HOME!$A$9,"",IF(B28&gt;'NH3 reconversion'!$D$27+HOME!$A$9,"",K28/(1+'NH3 reconversion'!$D$28)^C28)))</f>
        <v>1001.6317288180855</v>
      </c>
    </row>
    <row r="29" spans="2:14">
      <c r="B29" s="764">
        <v>2047</v>
      </c>
      <c r="C29" s="765">
        <f>IF(B29=HOME!$A$9,B29-HOME!$A$9,IF(B29&lt;HOME!$A$9,"",IF(B29&gt;HOME!$A$9+'NH3 reconversion'!$D$27,"",B29-HOME!$A$9)))</f>
        <v>25</v>
      </c>
      <c r="D29" s="766" cm="1">
        <f t="array" ref="D29">IF(B29=HOME!$A$9,"",IF(B29&lt;HOME!$A$9,"",IF(B29&gt;'NH3 reconversion'!$D$27+HOME!$A$9,"",INDEX(Tb_Fuel[],MATCH(B29,Tb_Fuel[Year],0),HLOOKUP('NH3 reconversion'!$E$12&amp;" - Grid",'Fuel Data'!$BB$2:$BX$3,2,FALSE)+1))))</f>
        <v>0.11</v>
      </c>
      <c r="E29" s="766">
        <f>IF(B29=HOME!$A$9,'NH3 reconversion'!$D$32,IF(B29&lt;HOME!$A$9,"",IF(B29&gt;'NH3 reconversion'!$D$27+HOME!$A$9,"",0)))</f>
        <v>0</v>
      </c>
      <c r="F29" s="766">
        <f>IF(B29=HOME!$A$9,0,IF(B29&lt;HOME!$A$9,"",IF(B29&gt;'NH3 reconversion'!$D$27+HOME!$A$9,"",'NH3 reconversion'!$D$32*'NH3 reconversion'!$D$26)))</f>
        <v>1.0925279848252434</v>
      </c>
      <c r="G29" s="766">
        <f>IF(B29=HOME!$A$9,0,IF(B29&lt;HOME!$A$9,"",IF(B29&gt;'NH3 reconversion'!$D$27+HOME!$A$9,"",D29/10^6*'NH3 reconversion'!$D$36*1000)))</f>
        <v>6.0852728977012482</v>
      </c>
      <c r="H29" s="766">
        <f>IF(B29=HOME!$A$9,SUM(E29:G29),IF(B29&lt;HOME!$A$9,"",IF(B29&gt;'NH3 reconversion'!$D$27+HOME!$A$9,"",SUM(E29:G29))))</f>
        <v>7.1778008825264914</v>
      </c>
      <c r="I29" s="766">
        <f>IF(B29=HOME!$A$9,G29/(1+'NH3 reconversion'!$D$28)^C29,IF(B29&lt;HOME!$A$9,"",IF(B29&gt;'NH3 reconversion'!$D$27+HOME!$A$9,"",G29/(1+'NH3 reconversion'!$D$28)^C29)))</f>
        <v>1.3820190173207214</v>
      </c>
      <c r="J29" s="766">
        <f>IF(B29=HOME!$A$9,H29/(1+'NH3 reconversion'!$D$28)^C29,IF(B29&lt;HOME!$A$9,"",IF(B29&gt;'NH3 reconversion'!$D$27+HOME!$A$9,"",H29/(1+'NH3 reconversion'!$D$28)^C29)))</f>
        <v>1.6301417354578067</v>
      </c>
      <c r="K29" s="804">
        <f>IF(B29=HOME!$A$9,0,IF(B29&lt;HOME!$A$9,"",IF(B29&gt;'NH3 reconversion'!$D$27+HOME!$A$9,"", 'NH3 reconversion'!$D$37)))</f>
        <v>4156.4587203048704</v>
      </c>
      <c r="L29" s="805">
        <f>IF(B29=HOME!$A$9,K29/(1+'NH3 reconversion'!$D$28)^C29,IF(B29&lt;HOME!$A$9,"",IF(B29&gt;'NH3 reconversion'!$D$27+HOME!$A$9,"",K29/(1+'NH3 reconversion'!$D$28)^C29)))</f>
        <v>943.96834665209985</v>
      </c>
    </row>
    <row r="30" spans="2:14">
      <c r="B30" s="764">
        <v>2048</v>
      </c>
      <c r="C30" s="765">
        <f>IF(B30=HOME!$A$9,B30-HOME!$A$9,IF(B30&lt;HOME!$A$9,"",IF(B30&gt;HOME!$A$9+'NH3 reconversion'!$D$27,"",B30-HOME!$A$9)))</f>
        <v>26</v>
      </c>
      <c r="D30" s="766" cm="1">
        <f t="array" ref="D30">IF(B30=HOME!$A$9,"",IF(B30&lt;HOME!$A$9,"",IF(B30&gt;'NH3 reconversion'!$D$27+HOME!$A$9,"",INDEX(Tb_Fuel[],MATCH(B30,Tb_Fuel[Year],0),HLOOKUP('NH3 reconversion'!$E$12&amp;" - Grid",'Fuel Data'!$BB$2:$BX$3,2,FALSE)+1))))</f>
        <v>0.11</v>
      </c>
      <c r="E30" s="766">
        <f>IF(B30=HOME!$A$9,'NH3 reconversion'!$D$32,IF(B30&lt;HOME!$A$9,"",IF(B30&gt;'NH3 reconversion'!$D$27+HOME!$A$9,"",0)))</f>
        <v>0</v>
      </c>
      <c r="F30" s="766">
        <f>IF(B30=HOME!$A$9,0,IF(B30&lt;HOME!$A$9,"",IF(B30&gt;'NH3 reconversion'!$D$27+HOME!$A$9,"",'NH3 reconversion'!$D$32*'NH3 reconversion'!$D$26)))</f>
        <v>1.0925279848252434</v>
      </c>
      <c r="G30" s="766">
        <f>IF(B30=HOME!$A$9,0,IF(B30&lt;HOME!$A$9,"",IF(B30&gt;'NH3 reconversion'!$D$27+HOME!$A$9,"",D30/10^6*'NH3 reconversion'!$D$36*1000)))</f>
        <v>6.0852728977012482</v>
      </c>
      <c r="H30" s="766">
        <f>IF(B30=HOME!$A$9,SUM(E30:G30),IF(B30&lt;HOME!$A$9,"",IF(B30&gt;'NH3 reconversion'!$D$27+HOME!$A$9,"",SUM(E30:G30))))</f>
        <v>7.1778008825264914</v>
      </c>
      <c r="I30" s="766">
        <f>IF(B30=HOME!$A$9,G30/(1+'NH3 reconversion'!$D$28)^C30,IF(B30&lt;HOME!$A$9,"",IF(B30&gt;'NH3 reconversion'!$D$27+HOME!$A$9,"",G30/(1+'NH3 reconversion'!$D$28)^C30)))</f>
        <v>1.3024569502819103</v>
      </c>
      <c r="J30" s="766">
        <f>IF(B30=HOME!$A$9,H30/(1+'NH3 reconversion'!$D$28)^C30,IF(B30&lt;HOME!$A$9,"",IF(B30&gt;'NH3 reconversion'!$D$27+HOME!$A$9,"",H30/(1+'NH3 reconversion'!$D$28)^C30)))</f>
        <v>1.5362953813817981</v>
      </c>
      <c r="K30" s="804">
        <f>IF(B30=HOME!$A$9,0,IF(B30&lt;HOME!$A$9,"",IF(B30&gt;'NH3 reconversion'!$D$27+HOME!$A$9,"", 'NH3 reconversion'!$D$37)))</f>
        <v>4156.4587203048704</v>
      </c>
      <c r="L30" s="805">
        <f>IF(B30=HOME!$A$9,K30/(1+'NH3 reconversion'!$D$28)^C30,IF(B30&lt;HOME!$A$9,"",IF(B30&gt;'NH3 reconversion'!$D$27+HOME!$A$9,"",K30/(1+'NH3 reconversion'!$D$28)^C30)))</f>
        <v>889.62461336219769</v>
      </c>
    </row>
    <row r="31" spans="2:14">
      <c r="B31" s="764">
        <v>2049</v>
      </c>
      <c r="C31" s="765">
        <f>IF(B31=HOME!$A$9,B31-HOME!$A$9,IF(B31&lt;HOME!$A$9,"",IF(B31&gt;HOME!$A$9+'NH3 reconversion'!$D$27,"",B31-HOME!$A$9)))</f>
        <v>27</v>
      </c>
      <c r="D31" s="766" cm="1">
        <f t="array" ref="D31">IF(B31=HOME!$A$9,"",IF(B31&lt;HOME!$A$9,"",IF(B31&gt;'NH3 reconversion'!$D$27+HOME!$A$9,"",INDEX(Tb_Fuel[],MATCH(B31,Tb_Fuel[Year],0),HLOOKUP('NH3 reconversion'!$E$12&amp;" - Grid",'Fuel Data'!$BB$2:$BX$3,2,FALSE)+1))))</f>
        <v>0.11</v>
      </c>
      <c r="E31" s="766">
        <f>IF(B31=HOME!$A$9,'NH3 reconversion'!$D$32,IF(B31&lt;HOME!$A$9,"",IF(B31&gt;'NH3 reconversion'!$D$27+HOME!$A$9,"",0)))</f>
        <v>0</v>
      </c>
      <c r="F31" s="766">
        <f>IF(B31=HOME!$A$9,0,IF(B31&lt;HOME!$A$9,"",IF(B31&gt;'NH3 reconversion'!$D$27+HOME!$A$9,"",'NH3 reconversion'!$D$32*'NH3 reconversion'!$D$26)))</f>
        <v>1.0925279848252434</v>
      </c>
      <c r="G31" s="766">
        <f>IF(B31=HOME!$A$9,0,IF(B31&lt;HOME!$A$9,"",IF(B31&gt;'NH3 reconversion'!$D$27+HOME!$A$9,"",D31/10^6*'NH3 reconversion'!$D$36*1000)))</f>
        <v>6.0852728977012482</v>
      </c>
      <c r="H31" s="766">
        <f>IF(B31=HOME!$A$9,SUM(E31:G31),IF(B31&lt;HOME!$A$9,"",IF(B31&gt;'NH3 reconversion'!$D$27+HOME!$A$9,"",SUM(E31:G31))))</f>
        <v>7.1778008825264914</v>
      </c>
      <c r="I31" s="766">
        <f>IF(B31=HOME!$A$9,G31/(1+'NH3 reconversion'!$D$28)^C31,IF(B31&lt;HOME!$A$9,"",IF(B31&gt;'NH3 reconversion'!$D$27+HOME!$A$9,"",G31/(1+'NH3 reconversion'!$D$28)^C31)))</f>
        <v>1.2274752272413749</v>
      </c>
      <c r="J31" s="766">
        <f>IF(B31=HOME!$A$9,H31/(1+'NH3 reconversion'!$D$28)^C31,IF(B31&lt;HOME!$A$9,"",IF(B31&gt;'NH3 reconversion'!$D$27+HOME!$A$9,"",H31/(1+'NH3 reconversion'!$D$28)^C31)))</f>
        <v>1.4478517097730814</v>
      </c>
      <c r="K31" s="804">
        <f>IF(B31=HOME!$A$9,0,IF(B31&lt;HOME!$A$9,"",IF(B31&gt;'NH3 reconversion'!$D$27+HOME!$A$9,"", 'NH3 reconversion'!$D$37)))</f>
        <v>4156.4587203048704</v>
      </c>
      <c r="L31" s="805">
        <f>IF(B31=HOME!$A$9,K31/(1+'NH3 reconversion'!$D$28)^C31,IF(B31&lt;HOME!$A$9,"",IF(B31&gt;'NH3 reconversion'!$D$27+HOME!$A$9,"",K31/(1+'NH3 reconversion'!$D$28)^C31)))</f>
        <v>838.40941860683199</v>
      </c>
    </row>
    <row r="32" spans="2:14">
      <c r="B32" s="764">
        <v>2050</v>
      </c>
      <c r="C32" s="765">
        <f>IF(B32=HOME!$A$9,B32-HOME!$A$9,IF(B32&lt;HOME!$A$9,"",IF(B32&gt;HOME!$A$9+'NH3 reconversion'!$D$27,"",B32-HOME!$A$9)))</f>
        <v>28</v>
      </c>
      <c r="D32" s="766" cm="1">
        <f t="array" ref="D32">IF(B32=HOME!$A$9,"",IF(B32&lt;HOME!$A$9,"",IF(B32&gt;'NH3 reconversion'!$D$27+HOME!$A$9,"",INDEX(Tb_Fuel[],MATCH(B32,Tb_Fuel[Year],0),HLOOKUP('NH3 reconversion'!$E$12&amp;" - Grid",'Fuel Data'!$BB$2:$BX$3,2,FALSE)+1))))</f>
        <v>0.11</v>
      </c>
      <c r="E32" s="766">
        <f>IF(B32=HOME!$A$9,'NH3 reconversion'!$D$32,IF(B32&lt;HOME!$A$9,"",IF(B32&gt;'NH3 reconversion'!$D$27+HOME!$A$9,"",0)))</f>
        <v>0</v>
      </c>
      <c r="F32" s="766">
        <f>IF(B32=HOME!$A$9,0,IF(B32&lt;HOME!$A$9,"",IF(B32&gt;'NH3 reconversion'!$D$27+HOME!$A$9,"",'NH3 reconversion'!$D$32*'NH3 reconversion'!$D$26)))</f>
        <v>1.0925279848252434</v>
      </c>
      <c r="G32" s="766">
        <f>IF(B32=HOME!$A$9,0,IF(B32&lt;HOME!$A$9,"",IF(B32&gt;'NH3 reconversion'!$D$27+HOME!$A$9,"",D32/10^6*'NH3 reconversion'!$D$36*1000)))</f>
        <v>6.0852728977012482</v>
      </c>
      <c r="H32" s="766">
        <f>IF(B32=HOME!$A$9,SUM(E32:G32),IF(B32&lt;HOME!$A$9,"",IF(B32&gt;'NH3 reconversion'!$D$27+HOME!$A$9,"",SUM(E32:G32))))</f>
        <v>7.1778008825264914</v>
      </c>
      <c r="I32" s="766">
        <f>IF(B32=HOME!$A$9,G32/(1+'NH3 reconversion'!$D$28)^C32,IF(B32&lt;HOME!$A$9,"",IF(B32&gt;'NH3 reconversion'!$D$27+HOME!$A$9,"",G32/(1+'NH3 reconversion'!$D$28)^C32)))</f>
        <v>1.1568101603397709</v>
      </c>
      <c r="J32" s="766">
        <f>IF(B32=HOME!$A$9,H32/(1+'NH3 reconversion'!$D$28)^C32,IF(B32&lt;HOME!$A$9,"",IF(B32&gt;'NH3 reconversion'!$D$27+HOME!$A$9,"",H32/(1+'NH3 reconversion'!$D$28)^C32)))</f>
        <v>1.3644996912035063</v>
      </c>
      <c r="K32" s="804">
        <f>IF(B32=HOME!$A$9,0,IF(B32&lt;HOME!$A$9,"",IF(B32&gt;'NH3 reconversion'!$D$27+HOME!$A$9,"", 'NH3 reconversion'!$D$37)))</f>
        <v>4156.4587203048704</v>
      </c>
      <c r="L32" s="805">
        <f>IF(B32=HOME!$A$9,K32/(1+'NH3 reconversion'!$D$28)^C32,IF(B32&lt;HOME!$A$9,"",IF(B32&gt;'NH3 reconversion'!$D$27+HOME!$A$9,"",K32/(1+'NH3 reconversion'!$D$28)^C32)))</f>
        <v>790.14265416064711</v>
      </c>
    </row>
    <row r="33" spans="2:12">
      <c r="B33" s="764">
        <v>2051</v>
      </c>
      <c r="C33" s="765">
        <f>IF(B33=HOME!$A$9,B33-HOME!$A$9,IF(B33&lt;HOME!$A$9,"",IF(B33&gt;HOME!$A$9+'NH3 reconversion'!$D$27,"",B33-HOME!$A$9)))</f>
        <v>29</v>
      </c>
      <c r="D33" s="766" cm="1">
        <f t="array" ref="D33">IF(B33=HOME!$A$9,"",IF(B33&lt;HOME!$A$9,"",IF(B33&gt;'NH3 reconversion'!$D$27+HOME!$A$9,"",INDEX(Tb_Fuel[],MATCH(B33,Tb_Fuel[Year],0),HLOOKUP('NH3 reconversion'!$E$12&amp;" - Grid",'Fuel Data'!$BB$2:$BX$3,2,FALSE)+1))))</f>
        <v>0.11</v>
      </c>
      <c r="E33" s="766">
        <f>IF(B33=HOME!$A$9,'NH3 reconversion'!$D$32,IF(B33&lt;HOME!$A$9,"",IF(B33&gt;'NH3 reconversion'!$D$27+HOME!$A$9,"",0)))</f>
        <v>0</v>
      </c>
      <c r="F33" s="766">
        <f>IF(B33=HOME!$A$9,0,IF(B33&lt;HOME!$A$9,"",IF(B33&gt;'NH3 reconversion'!$D$27+HOME!$A$9,"",'NH3 reconversion'!$D$32*'NH3 reconversion'!$D$26)))</f>
        <v>1.0925279848252434</v>
      </c>
      <c r="G33" s="766">
        <f>IF(B33=HOME!$A$9,0,IF(B33&lt;HOME!$A$9,"",IF(B33&gt;'NH3 reconversion'!$D$27+HOME!$A$9,"",D33/10^6*'NH3 reconversion'!$D$36*1000)))</f>
        <v>6.0852728977012482</v>
      </c>
      <c r="H33" s="766">
        <f>IF(B33=HOME!$A$9,SUM(E33:G33),IF(B33&lt;HOME!$A$9,"",IF(B33&gt;'NH3 reconversion'!$D$27+HOME!$A$9,"",SUM(E33:G33))))</f>
        <v>7.1778008825264914</v>
      </c>
      <c r="I33" s="766">
        <f>IF(B33=HOME!$A$9,G33/(1+'NH3 reconversion'!$D$28)^C33,IF(B33&lt;HOME!$A$9,"",IF(B33&gt;'NH3 reconversion'!$D$27+HOME!$A$9,"",G33/(1+'NH3 reconversion'!$D$28)^C33)))</f>
        <v>1.0902132420813215</v>
      </c>
      <c r="J33" s="766">
        <f>IF(B33=HOME!$A$9,H33/(1+'NH3 reconversion'!$D$28)^C33,IF(B33&lt;HOME!$A$9,"",IF(B33&gt;'NH3 reconversion'!$D$27+HOME!$A$9,"",H33/(1+'NH3 reconversion'!$D$28)^C33)))</f>
        <v>1.2859462020363044</v>
      </c>
      <c r="K33" s="804">
        <f>IF(B33=HOME!$A$9,0,IF(B33&lt;HOME!$A$9,"",IF(B33&gt;'NH3 reconversion'!$D$27+HOME!$A$9,"", 'NH3 reconversion'!$D$37)))</f>
        <v>4156.4587203048704</v>
      </c>
      <c r="L33" s="805">
        <f>IF(B33=HOME!$A$9,K33/(1+'NH3 reconversion'!$D$28)^C33,IF(B33&lt;HOME!$A$9,"",IF(B33&gt;'NH3 reconversion'!$D$27+HOME!$A$9,"",K33/(1+'NH3 reconversion'!$D$28)^C33)))</f>
        <v>744.65458052875977</v>
      </c>
    </row>
    <row r="34" spans="2:12">
      <c r="B34" s="764">
        <v>2052</v>
      </c>
      <c r="C34" s="765">
        <f>IF(B34=HOME!$A$9,B34-HOME!$A$9,IF(B34&lt;HOME!$A$9,"",IF(B34&gt;HOME!$A$9+'NH3 reconversion'!$D$27,"",B34-HOME!$A$9)))</f>
        <v>30</v>
      </c>
      <c r="D34" s="766" cm="1">
        <f t="array" ref="D34">IF(B34=HOME!$A$9,"",IF(B34&lt;HOME!$A$9,"",IF(B34&gt;'NH3 reconversion'!$D$27+HOME!$A$9,"",INDEX(Tb_Fuel[],MATCH(B34,Tb_Fuel[Year],0),HLOOKUP('NH3 reconversion'!$E$12&amp;" - Grid",'Fuel Data'!$BB$2:$BX$3,2,FALSE)+1))))</f>
        <v>0.11</v>
      </c>
      <c r="E34" s="766">
        <f>IF(B34=HOME!$A$9,'NH3 reconversion'!$D$32,IF(B34&lt;HOME!$A$9,"",IF(B34&gt;'NH3 reconversion'!$D$27+HOME!$A$9,"",0)))</f>
        <v>0</v>
      </c>
      <c r="F34" s="766">
        <f>IF(B34=HOME!$A$9,0,IF(B34&lt;HOME!$A$9,"",IF(B34&gt;'NH3 reconversion'!$D$27+HOME!$A$9,"",'NH3 reconversion'!$D$32*'NH3 reconversion'!$D$26)))</f>
        <v>1.0925279848252434</v>
      </c>
      <c r="G34" s="766">
        <f>IF(B34=HOME!$A$9,0,IF(B34&lt;HOME!$A$9,"",IF(B34&gt;'NH3 reconversion'!$D$27+HOME!$A$9,"",D34/10^6*'NH3 reconversion'!$D$36*1000)))</f>
        <v>6.0852728977012482</v>
      </c>
      <c r="H34" s="766">
        <f>IF(B34=HOME!$A$9,SUM(E34:G34),IF(B34&lt;HOME!$A$9,"",IF(B34&gt;'NH3 reconversion'!$D$27+HOME!$A$9,"",SUM(E34:G34))))</f>
        <v>7.1778008825264914</v>
      </c>
      <c r="I34" s="766">
        <f>IF(B34=HOME!$A$9,G34/(1+'NH3 reconversion'!$D$28)^C34,IF(B34&lt;HOME!$A$9,"",IF(B34&gt;'NH3 reconversion'!$D$27+HOME!$A$9,"",G34/(1+'NH3 reconversion'!$D$28)^C34)))</f>
        <v>1.0274502714087228</v>
      </c>
      <c r="J34" s="766">
        <f>IF(B34=HOME!$A$9,H34/(1+'NH3 reconversion'!$D$28)^C34,IF(B34&lt;HOME!$A$9,"",IF(B34&gt;'NH3 reconversion'!$D$27+HOME!$A$9,"",H34/(1+'NH3 reconversion'!$D$28)^C34)))</f>
        <v>1.2119149935996305</v>
      </c>
      <c r="K34" s="804">
        <f>IF(B34=HOME!$A$9,0,IF(B34&lt;HOME!$A$9,"",IF(B34&gt;'NH3 reconversion'!$D$27+HOME!$A$9,"", 'NH3 reconversion'!$D$37)))</f>
        <v>4156.4587203048704</v>
      </c>
      <c r="L34" s="805">
        <f>IF(B34=HOME!$A$9,K34/(1+'NH3 reconversion'!$D$28)^C34,IF(B34&lt;HOME!$A$9,"",IF(B34&gt;'NH3 reconversion'!$D$27+HOME!$A$9,"",K34/(1+'NH3 reconversion'!$D$28)^C34)))</f>
        <v>701.78523002470797</v>
      </c>
    </row>
    <row r="35" spans="2:12">
      <c r="B35" s="764">
        <v>2053</v>
      </c>
      <c r="C35" s="765" t="str">
        <f>IF(B35=HOME!$A$9,B35-HOME!$A$9,IF(B35&lt;HOME!$A$9,"",IF(B35&gt;HOME!$A$9+'NH3 reconversion'!$D$27,"",B35-HOME!$A$9)))</f>
        <v/>
      </c>
      <c r="D35" s="766" t="str" cm="1">
        <f t="array" ref="D35">IF(B35=HOME!$A$9,"",IF(B35&lt;HOME!$A$9,"",IF(B35&gt;'NH3 reconversion'!$D$27+HOME!$A$9,"",INDEX(Tb_Fuel[],MATCH(B35,Tb_Fuel[Year],0),HLOOKUP('NH3 reconversion'!$E$12&amp;" - Grid",'Fuel Data'!$BB$2:$BX$3,2,FALSE)+1))))</f>
        <v/>
      </c>
      <c r="E35" s="766" t="str">
        <f>IF(B35=HOME!$A$9,'NH3 reconversion'!$D$32,IF(B35&lt;HOME!$A$9,"",IF(B35&gt;'NH3 reconversion'!$D$27+HOME!$A$9,"",0)))</f>
        <v/>
      </c>
      <c r="F35" s="766" t="str">
        <f>IF(B35=HOME!$A$9,0,IF(B35&lt;HOME!$A$9,"",IF(B35&gt;'NH3 reconversion'!$D$27+HOME!$A$9,"",'NH3 reconversion'!$D$32*'NH3 reconversion'!$D$26)))</f>
        <v/>
      </c>
      <c r="G35" s="766" t="str">
        <f>IF(B35=HOME!$A$9,0,IF(B35&lt;HOME!$A$9,"",IF(B35&gt;'NH3 reconversion'!$D$27+HOME!$A$9,"",D35/10^6*'NH3 reconversion'!$D$36*1000)))</f>
        <v/>
      </c>
      <c r="H35" s="766" t="str">
        <f>IF(B35=HOME!$A$9,SUM(E35:G35),IF(B35&lt;HOME!$A$9,"",IF(B35&gt;'NH3 reconversion'!$D$27+HOME!$A$9,"",SUM(E35:G35))))</f>
        <v/>
      </c>
      <c r="I35" s="766" t="str">
        <f>IF(B35=HOME!$A$9,G35/(1+'NH3 reconversion'!$D$28)^C35,IF(B35&lt;HOME!$A$9,"",IF(B35&gt;'NH3 reconversion'!$D$27+HOME!$A$9,"",G35/(1+'NH3 reconversion'!$D$28)^C35)))</f>
        <v/>
      </c>
      <c r="J35" s="766" t="str">
        <f>IF(B35=HOME!$A$9,H35/(1+'NH3 reconversion'!$D$28)^C35,IF(B35&lt;HOME!$A$9,"",IF(B35&gt;'NH3 reconversion'!$D$27+HOME!$A$9,"",H35/(1+'NH3 reconversion'!$D$28)^C35)))</f>
        <v/>
      </c>
      <c r="K35" s="804" t="str">
        <f>IF(B35=HOME!$A$9,0,IF(B35&lt;HOME!$A$9,"",IF(B35&gt;'NH3 reconversion'!$D$27+HOME!$A$9,"", 'NH3 reconversion'!$D$37)))</f>
        <v/>
      </c>
      <c r="L35" s="805" t="str">
        <f>IF(B35=HOME!$A$9,K35/(1+'NH3 reconversion'!$D$28)^C35,IF(B35&lt;HOME!$A$9,"",IF(B35&gt;'NH3 reconversion'!$D$27+HOME!$A$9,"",K35/(1+'NH3 reconversion'!$D$28)^C35)))</f>
        <v/>
      </c>
    </row>
    <row r="36" spans="2:12">
      <c r="B36" s="764">
        <v>2054</v>
      </c>
      <c r="C36" s="765" t="str">
        <f>IF(B36=HOME!$A$9,B36-HOME!$A$9,IF(B36&lt;HOME!$A$9,"",IF(B36&gt;HOME!$A$9+'NH3 reconversion'!$D$27,"",B36-HOME!$A$9)))</f>
        <v/>
      </c>
      <c r="D36" s="766" t="str" cm="1">
        <f t="array" ref="D36">IF(B36=HOME!$A$9,"",IF(B36&lt;HOME!$A$9,"",IF(B36&gt;'NH3 reconversion'!$D$27+HOME!$A$9,"",INDEX(Tb_Fuel[],MATCH(B36,Tb_Fuel[Year],0),HLOOKUP('NH3 reconversion'!$E$12&amp;" - Grid",'Fuel Data'!$BB$2:$BX$3,2,FALSE)+1))))</f>
        <v/>
      </c>
      <c r="E36" s="766" t="str">
        <f>IF(B36=HOME!$A$9,'NH3 reconversion'!$D$32,IF(B36&lt;HOME!$A$9,"",IF(B36&gt;'NH3 reconversion'!$D$27+HOME!$A$9,"",0)))</f>
        <v/>
      </c>
      <c r="F36" s="766" t="str">
        <f>IF(B36=HOME!$A$9,0,IF(B36&lt;HOME!$A$9,"",IF(B36&gt;'NH3 reconversion'!$D$27+HOME!$A$9,"",'NH3 reconversion'!$D$32*'NH3 reconversion'!$D$26)))</f>
        <v/>
      </c>
      <c r="G36" s="766" t="str">
        <f>IF(B36=HOME!$A$9,0,IF(B36&lt;HOME!$A$9,"",IF(B36&gt;'NH3 reconversion'!$D$27+HOME!$A$9,"",D36/10^6*'NH3 reconversion'!$D$36*1000)))</f>
        <v/>
      </c>
      <c r="H36" s="766" t="str">
        <f>IF(B36=HOME!$A$9,SUM(E36:G36),IF(B36&lt;HOME!$A$9,"",IF(B36&gt;'NH3 reconversion'!$D$27+HOME!$A$9,"",SUM(E36:G36))))</f>
        <v/>
      </c>
      <c r="I36" s="766" t="str">
        <f>IF(B36=HOME!$A$9,G36/(1+'NH3 reconversion'!$D$28)^C36,IF(B36&lt;HOME!$A$9,"",IF(B36&gt;'NH3 reconversion'!$D$27+HOME!$A$9,"",G36/(1+'NH3 reconversion'!$D$28)^C36)))</f>
        <v/>
      </c>
      <c r="J36" s="766" t="str">
        <f>IF(B36=HOME!$A$9,H36/(1+'NH3 reconversion'!$D$28)^C36,IF(B36&lt;HOME!$A$9,"",IF(B36&gt;'NH3 reconversion'!$D$27+HOME!$A$9,"",H36/(1+'NH3 reconversion'!$D$28)^C36)))</f>
        <v/>
      </c>
      <c r="K36" s="804" t="str">
        <f>IF(B36=HOME!$A$9,0,IF(B36&lt;HOME!$A$9,"",IF(B36&gt;'NH3 reconversion'!$D$27+HOME!$A$9,"", 'NH3 reconversion'!$D$37)))</f>
        <v/>
      </c>
      <c r="L36" s="805" t="str">
        <f>IF(B36=HOME!$A$9,K36/(1+'NH3 reconversion'!$D$28)^C36,IF(B36&lt;HOME!$A$9,"",IF(B36&gt;'NH3 reconversion'!$D$27+HOME!$A$9,"",K36/(1+'NH3 reconversion'!$D$28)^C36)))</f>
        <v/>
      </c>
    </row>
    <row r="37" spans="2:12">
      <c r="B37" s="764">
        <v>2055</v>
      </c>
      <c r="C37" s="765" t="str">
        <f>IF(B37=HOME!$A$9,B37-HOME!$A$9,IF(B37&lt;HOME!$A$9,"",IF(B37&gt;HOME!$A$9+'NH3 reconversion'!$D$27,"",B37-HOME!$A$9)))</f>
        <v/>
      </c>
      <c r="D37" s="766" t="str" cm="1">
        <f t="array" ref="D37">IF(B37=HOME!$A$9,"",IF(B37&lt;HOME!$A$9,"",IF(B37&gt;'NH3 reconversion'!$D$27+HOME!$A$9,"",INDEX(Tb_Fuel[],MATCH(B37,Tb_Fuel[Year],0),HLOOKUP('NH3 reconversion'!$E$12&amp;" - Grid",'Fuel Data'!$BB$2:$BX$3,2,FALSE)+1))))</f>
        <v/>
      </c>
      <c r="E37" s="766" t="str">
        <f>IF(B37=HOME!$A$9,'NH3 reconversion'!$D$32,IF(B37&lt;HOME!$A$9,"",IF(B37&gt;'NH3 reconversion'!$D$27+HOME!$A$9,"",0)))</f>
        <v/>
      </c>
      <c r="F37" s="766" t="str">
        <f>IF(B37=HOME!$A$9,0,IF(B37&lt;HOME!$A$9,"",IF(B37&gt;'NH3 reconversion'!$D$27+HOME!$A$9,"",'NH3 reconversion'!$D$32*'NH3 reconversion'!$D$26)))</f>
        <v/>
      </c>
      <c r="G37" s="766" t="str">
        <f>IF(B37=HOME!$A$9,0,IF(B37&lt;HOME!$A$9,"",IF(B37&gt;'NH3 reconversion'!$D$27+HOME!$A$9,"",D37/10^6*'NH3 reconversion'!$D$36*1000)))</f>
        <v/>
      </c>
      <c r="H37" s="766" t="str">
        <f>IF(B37=HOME!$A$9,SUM(E37:G37),IF(B37&lt;HOME!$A$9,"",IF(B37&gt;'NH3 reconversion'!$D$27+HOME!$A$9,"",SUM(E37:G37))))</f>
        <v/>
      </c>
      <c r="I37" s="766" t="str">
        <f>IF(B37=HOME!$A$9,G37/(1+'NH3 reconversion'!$D$28)^C37,IF(B37&lt;HOME!$A$9,"",IF(B37&gt;'NH3 reconversion'!$D$27+HOME!$A$9,"",G37/(1+'NH3 reconversion'!$D$28)^C37)))</f>
        <v/>
      </c>
      <c r="J37" s="766" t="str">
        <f>IF(B37=HOME!$A$9,H37/(1+'NH3 reconversion'!$D$28)^C37,IF(B37&lt;HOME!$A$9,"",IF(B37&gt;'NH3 reconversion'!$D$27+HOME!$A$9,"",H37/(1+'NH3 reconversion'!$D$28)^C37)))</f>
        <v/>
      </c>
      <c r="K37" s="804" t="str">
        <f>IF(B37=HOME!$A$9,0,IF(B37&lt;HOME!$A$9,"",IF(B37&gt;'NH3 reconversion'!$D$27+HOME!$A$9,"", 'NH3 reconversion'!$D$37)))</f>
        <v/>
      </c>
      <c r="L37" s="805" t="str">
        <f>IF(B37=HOME!$A$9,K37/(1+'NH3 reconversion'!$D$28)^C37,IF(B37&lt;HOME!$A$9,"",IF(B37&gt;'NH3 reconversion'!$D$27+HOME!$A$9,"",K37/(1+'NH3 reconversion'!$D$28)^C37)))</f>
        <v/>
      </c>
    </row>
    <row r="38" spans="2:12">
      <c r="B38" s="764">
        <v>2056</v>
      </c>
      <c r="C38" s="765" t="str">
        <f>IF(B38=HOME!$A$9,B38-HOME!$A$9,IF(B38&lt;HOME!$A$9,"",IF(B38&gt;HOME!$A$9+'NH3 reconversion'!$D$27,"",B38-HOME!$A$9)))</f>
        <v/>
      </c>
      <c r="D38" s="766" t="str" cm="1">
        <f t="array" ref="D38">IF(B38=HOME!$A$9,"",IF(B38&lt;HOME!$A$9,"",IF(B38&gt;'NH3 reconversion'!$D$27+HOME!$A$9,"",INDEX(Tb_Fuel[],MATCH(B38,Tb_Fuel[Year],0),HLOOKUP('NH3 reconversion'!$E$12&amp;" - Grid",'Fuel Data'!$BB$2:$BX$3,2,FALSE)+1))))</f>
        <v/>
      </c>
      <c r="E38" s="766" t="str">
        <f>IF(B38=HOME!$A$9,'NH3 reconversion'!$D$32,IF(B38&lt;HOME!$A$9,"",IF(B38&gt;'NH3 reconversion'!$D$27+HOME!$A$9,"",0)))</f>
        <v/>
      </c>
      <c r="F38" s="766" t="str">
        <f>IF(B38=HOME!$A$9,0,IF(B38&lt;HOME!$A$9,"",IF(B38&gt;'NH3 reconversion'!$D$27+HOME!$A$9,"",'NH3 reconversion'!$D$32*'NH3 reconversion'!$D$26)))</f>
        <v/>
      </c>
      <c r="G38" s="766" t="str">
        <f>IF(B38=HOME!$A$9,0,IF(B38&lt;HOME!$A$9,"",IF(B38&gt;'NH3 reconversion'!$D$27+HOME!$A$9,"",D38/10^6*'NH3 reconversion'!$D$36*1000)))</f>
        <v/>
      </c>
      <c r="H38" s="766" t="str">
        <f>IF(B38=HOME!$A$9,SUM(E38:G38),IF(B38&lt;HOME!$A$9,"",IF(B38&gt;'NH3 reconversion'!$D$27+HOME!$A$9,"",SUM(E38:G38))))</f>
        <v/>
      </c>
      <c r="I38" s="766" t="str">
        <f>IF(B38=HOME!$A$9,G38/(1+'NH3 reconversion'!$D$28)^C38,IF(B38&lt;HOME!$A$9,"",IF(B38&gt;'NH3 reconversion'!$D$27+HOME!$A$9,"",G38/(1+'NH3 reconversion'!$D$28)^C38)))</f>
        <v/>
      </c>
      <c r="J38" s="766" t="str">
        <f>IF(B38=HOME!$A$9,H38/(1+'NH3 reconversion'!$D$28)^C38,IF(B38&lt;HOME!$A$9,"",IF(B38&gt;'NH3 reconversion'!$D$27+HOME!$A$9,"",H38/(1+'NH3 reconversion'!$D$28)^C38)))</f>
        <v/>
      </c>
      <c r="K38" s="804" t="str">
        <f>IF(B38=HOME!$A$9,0,IF(B38&lt;HOME!$A$9,"",IF(B38&gt;'NH3 reconversion'!$D$27+HOME!$A$9,"", 'NH3 reconversion'!$D$37)))</f>
        <v/>
      </c>
      <c r="L38" s="805" t="str">
        <f>IF(B38=HOME!$A$9,K38/(1+'NH3 reconversion'!$D$28)^C38,IF(B38&lt;HOME!$A$9,"",IF(B38&gt;'NH3 reconversion'!$D$27+HOME!$A$9,"",K38/(1+'NH3 reconversion'!$D$28)^C38)))</f>
        <v/>
      </c>
    </row>
    <row r="39" spans="2:12">
      <c r="B39" s="764">
        <v>2057</v>
      </c>
      <c r="C39" s="765" t="str">
        <f>IF(B39=HOME!$A$9,B39-HOME!$A$9,IF(B39&lt;HOME!$A$9,"",IF(B39&gt;HOME!$A$9+'NH3 reconversion'!$D$27,"",B39-HOME!$A$9)))</f>
        <v/>
      </c>
      <c r="D39" s="766" t="str" cm="1">
        <f t="array" ref="D39">IF(B39=HOME!$A$9,"",IF(B39&lt;HOME!$A$9,"",IF(B39&gt;'NH3 reconversion'!$D$27+HOME!$A$9,"",INDEX(Tb_Fuel[],MATCH(B39,Tb_Fuel[Year],0),HLOOKUP('NH3 reconversion'!$E$12&amp;" - Grid",'Fuel Data'!$BB$2:$BX$3,2,FALSE)+1))))</f>
        <v/>
      </c>
      <c r="E39" s="766" t="str">
        <f>IF(B39=HOME!$A$9,'NH3 reconversion'!$D$32,IF(B39&lt;HOME!$A$9,"",IF(B39&gt;'NH3 reconversion'!$D$27+HOME!$A$9,"",0)))</f>
        <v/>
      </c>
      <c r="F39" s="766" t="str">
        <f>IF(B39=HOME!$A$9,0,IF(B39&lt;HOME!$A$9,"",IF(B39&gt;'NH3 reconversion'!$D$27+HOME!$A$9,"",'NH3 reconversion'!$D$32*'NH3 reconversion'!$D$26)))</f>
        <v/>
      </c>
      <c r="G39" s="766" t="str">
        <f>IF(B39=HOME!$A$9,0,IF(B39&lt;HOME!$A$9,"",IF(B39&gt;'NH3 reconversion'!$D$27+HOME!$A$9,"",D39/10^6*'NH3 reconversion'!$D$36*1000)))</f>
        <v/>
      </c>
      <c r="H39" s="766" t="str">
        <f>IF(B39=HOME!$A$9,SUM(E39:G39),IF(B39&lt;HOME!$A$9,"",IF(B39&gt;'NH3 reconversion'!$D$27+HOME!$A$9,"",SUM(E39:G39))))</f>
        <v/>
      </c>
      <c r="I39" s="766" t="str">
        <f>IF(B39=HOME!$A$9,G39/(1+'NH3 reconversion'!$D$28)^C39,IF(B39&lt;HOME!$A$9,"",IF(B39&gt;'NH3 reconversion'!$D$27+HOME!$A$9,"",G39/(1+'NH3 reconversion'!$D$28)^C39)))</f>
        <v/>
      </c>
      <c r="J39" s="766" t="str">
        <f>IF(B39=HOME!$A$9,H39/(1+'NH3 reconversion'!$D$28)^C39,IF(B39&lt;HOME!$A$9,"",IF(B39&gt;'NH3 reconversion'!$D$27+HOME!$A$9,"",H39/(1+'NH3 reconversion'!$D$28)^C39)))</f>
        <v/>
      </c>
      <c r="K39" s="804" t="str">
        <f>IF(B39=HOME!$A$9,0,IF(B39&lt;HOME!$A$9,"",IF(B39&gt;'NH3 reconversion'!$D$27+HOME!$A$9,"", 'NH3 reconversion'!$D$37)))</f>
        <v/>
      </c>
      <c r="L39" s="805" t="str">
        <f>IF(B39=HOME!$A$9,K39/(1+'NH3 reconversion'!$D$28)^C39,IF(B39&lt;HOME!$A$9,"",IF(B39&gt;'NH3 reconversion'!$D$27+HOME!$A$9,"",K39/(1+'NH3 reconversion'!$D$28)^C39)))</f>
        <v/>
      </c>
    </row>
    <row r="40" spans="2:12">
      <c r="B40" s="764">
        <v>2058</v>
      </c>
      <c r="C40" s="765" t="str">
        <f>IF(B40=HOME!$A$9,B40-HOME!$A$9,IF(B40&lt;HOME!$A$9,"",IF(B40&gt;HOME!$A$9+'NH3 reconversion'!$D$27,"",B40-HOME!$A$9)))</f>
        <v/>
      </c>
      <c r="D40" s="766" t="str" cm="1">
        <f t="array" ref="D40">IF(B40=HOME!$A$9,"",IF(B40&lt;HOME!$A$9,"",IF(B40&gt;'NH3 reconversion'!$D$27+HOME!$A$9,"",INDEX(Tb_Fuel[],MATCH(B40,Tb_Fuel[Year],0),HLOOKUP('NH3 reconversion'!$E$12&amp;" - Grid",'Fuel Data'!$BB$2:$BX$3,2,FALSE)+1))))</f>
        <v/>
      </c>
      <c r="E40" s="766" t="str">
        <f>IF(B40=HOME!$A$9,'NH3 reconversion'!$D$32,IF(B40&lt;HOME!$A$9,"",IF(B40&gt;'NH3 reconversion'!$D$27+HOME!$A$9,"",0)))</f>
        <v/>
      </c>
      <c r="F40" s="766" t="str">
        <f>IF(B40=HOME!$A$9,0,IF(B40&lt;HOME!$A$9,"",IF(B40&gt;'NH3 reconversion'!$D$27+HOME!$A$9,"",'NH3 reconversion'!$D$32*'NH3 reconversion'!$D$26)))</f>
        <v/>
      </c>
      <c r="G40" s="766" t="str">
        <f>IF(B40=HOME!$A$9,0,IF(B40&lt;HOME!$A$9,"",IF(B40&gt;'NH3 reconversion'!$D$27+HOME!$A$9,"",D40/10^6*'NH3 reconversion'!$D$36*1000)))</f>
        <v/>
      </c>
      <c r="H40" s="766" t="str">
        <f>IF(B40=HOME!$A$9,SUM(E40:G40),IF(B40&lt;HOME!$A$9,"",IF(B40&gt;'NH3 reconversion'!$D$27+HOME!$A$9,"",SUM(E40:G40))))</f>
        <v/>
      </c>
      <c r="I40" s="766" t="str">
        <f>IF(B40=HOME!$A$9,G40/(1+'NH3 reconversion'!$D$28)^C40,IF(B40&lt;HOME!$A$9,"",IF(B40&gt;'NH3 reconversion'!$D$27+HOME!$A$9,"",G40/(1+'NH3 reconversion'!$D$28)^C40)))</f>
        <v/>
      </c>
      <c r="J40" s="766" t="str">
        <f>IF(B40=HOME!$A$9,H40/(1+'NH3 reconversion'!$D$28)^C40,IF(B40&lt;HOME!$A$9,"",IF(B40&gt;'NH3 reconversion'!$D$27+HOME!$A$9,"",H40/(1+'NH3 reconversion'!$D$28)^C40)))</f>
        <v/>
      </c>
      <c r="K40" s="804" t="str">
        <f>IF(B40=HOME!$A$9,0,IF(B40&lt;HOME!$A$9,"",IF(B40&gt;'NH3 reconversion'!$D$27+HOME!$A$9,"", 'NH3 reconversion'!$D$37)))</f>
        <v/>
      </c>
      <c r="L40" s="805" t="str">
        <f>IF(B40=HOME!$A$9,K40/(1+'NH3 reconversion'!$D$28)^C40,IF(B40&lt;HOME!$A$9,"",IF(B40&gt;'NH3 reconversion'!$D$27+HOME!$A$9,"",K40/(1+'NH3 reconversion'!$D$28)^C40)))</f>
        <v/>
      </c>
    </row>
    <row r="41" spans="2:12">
      <c r="B41" s="764">
        <v>2059</v>
      </c>
      <c r="C41" s="765" t="str">
        <f>IF(B41=HOME!$A$9,B41-HOME!$A$9,IF(B41&lt;HOME!$A$9,"",IF(B41&gt;HOME!$A$9+'NH3 reconversion'!$D$27,"",B41-HOME!$A$9)))</f>
        <v/>
      </c>
      <c r="D41" s="766" t="str" cm="1">
        <f t="array" ref="D41">IF(B41=HOME!$A$9,"",IF(B41&lt;HOME!$A$9,"",IF(B41&gt;'NH3 reconversion'!$D$27+HOME!$A$9,"",INDEX(Tb_Fuel[],MATCH(B41,Tb_Fuel[Year],0),HLOOKUP('NH3 reconversion'!$E$12&amp;" - Grid",'Fuel Data'!$BB$2:$BX$3,2,FALSE)+1))))</f>
        <v/>
      </c>
      <c r="E41" s="766" t="str">
        <f>IF(B41=HOME!$A$9,'NH3 reconversion'!$D$32,IF(B41&lt;HOME!$A$9,"",IF(B41&gt;'NH3 reconversion'!$D$27+HOME!$A$9,"",0)))</f>
        <v/>
      </c>
      <c r="F41" s="766" t="str">
        <f>IF(B41=HOME!$A$9,0,IF(B41&lt;HOME!$A$9,"",IF(B41&gt;'NH3 reconversion'!$D$27+HOME!$A$9,"",'NH3 reconversion'!$D$32*'NH3 reconversion'!$D$26)))</f>
        <v/>
      </c>
      <c r="G41" s="766" t="str">
        <f>IF(B41=HOME!$A$9,0,IF(B41&lt;HOME!$A$9,"",IF(B41&gt;'NH3 reconversion'!$D$27+HOME!$A$9,"",D41/10^6*'NH3 reconversion'!$D$36*1000)))</f>
        <v/>
      </c>
      <c r="H41" s="766" t="str">
        <f>IF(B41=HOME!$A$9,SUM(E41:G41),IF(B41&lt;HOME!$A$9,"",IF(B41&gt;'NH3 reconversion'!$D$27+HOME!$A$9,"",SUM(E41:G41))))</f>
        <v/>
      </c>
      <c r="I41" s="766" t="str">
        <f>IF(B41=HOME!$A$9,G41/(1+'NH3 reconversion'!$D$28)^C41,IF(B41&lt;HOME!$A$9,"",IF(B41&gt;'NH3 reconversion'!$D$27+HOME!$A$9,"",G41/(1+'NH3 reconversion'!$D$28)^C41)))</f>
        <v/>
      </c>
      <c r="J41" s="766" t="str">
        <f>IF(B41=HOME!$A$9,H41/(1+'NH3 reconversion'!$D$28)^C41,IF(B41&lt;HOME!$A$9,"",IF(B41&gt;'NH3 reconversion'!$D$27+HOME!$A$9,"",H41/(1+'NH3 reconversion'!$D$28)^C41)))</f>
        <v/>
      </c>
      <c r="K41" s="804" t="str">
        <f>IF(B41=HOME!$A$9,0,IF(B41&lt;HOME!$A$9,"",IF(B41&gt;'NH3 reconversion'!$D$27+HOME!$A$9,"", 'NH3 reconversion'!$D$37)))</f>
        <v/>
      </c>
      <c r="L41" s="805" t="str">
        <f>IF(B41=HOME!$A$9,K41/(1+'NH3 reconversion'!$D$28)^C41,IF(B41&lt;HOME!$A$9,"",IF(B41&gt;'NH3 reconversion'!$D$27+HOME!$A$9,"",K41/(1+'NH3 reconversion'!$D$28)^C41)))</f>
        <v/>
      </c>
    </row>
    <row r="42" spans="2:12" ht="17" thickBot="1">
      <c r="B42" s="770">
        <v>2060</v>
      </c>
      <c r="C42" s="771" t="str">
        <f>IF(B42=HOME!$A$9,B42-HOME!$A$9,IF(B42&lt;HOME!$A$9,"",IF(B42&gt;HOME!$A$9+'NH3 reconversion'!$D$27,"",B42-HOME!$A$9)))</f>
        <v/>
      </c>
      <c r="D42" s="772" t="str" cm="1">
        <f t="array" ref="D42">IF(B42=HOME!$A$9,"",IF(B42&lt;HOME!$A$9,"",IF(B42&gt;'NH3 reconversion'!$D$27+HOME!$A$9,"",INDEX(Tb_Fuel[],MATCH(B42,Tb_Fuel[Year],0),HLOOKUP('NH3 reconversion'!$E$12&amp;" - Grid",'Fuel Data'!$BB$2:$BX$3,2,FALSE)+1))))</f>
        <v/>
      </c>
      <c r="E42" s="772" t="str">
        <f>IF(B42=HOME!$A$9,'NH3 reconversion'!$D$32,IF(B42&lt;HOME!$A$9,"",IF(B42&gt;'NH3 reconversion'!$D$27+HOME!$A$9,"",0)))</f>
        <v/>
      </c>
      <c r="F42" s="772" t="str">
        <f>IF(B42=HOME!$A$9,0,IF(B42&lt;HOME!$A$9,"",IF(B42&gt;'NH3 reconversion'!$D$27+HOME!$A$9,"",'NH3 reconversion'!$D$32*'NH3 reconversion'!$D$26)))</f>
        <v/>
      </c>
      <c r="G42" s="772" t="str">
        <f>IF(B42=HOME!$A$9,0,IF(B42&lt;HOME!$A$9,"",IF(B42&gt;'NH3 reconversion'!$D$27+HOME!$A$9,"",D42/10^6*'NH3 reconversion'!$D$36*1000)))</f>
        <v/>
      </c>
      <c r="H42" s="772" t="str">
        <f>IF(B42=HOME!$A$9,SUM(E42:G42),IF(B42&lt;HOME!$A$9,"",IF(B42&gt;'NH3 reconversion'!$D$27+HOME!$A$9,"",SUM(E42:G42))))</f>
        <v/>
      </c>
      <c r="I42" s="772" t="str">
        <f>IF(B42=HOME!$A$9,G42/(1+'NH3 reconversion'!$D$28)^C42,IF(B42&lt;HOME!$A$9,"",IF(B42&gt;'NH3 reconversion'!$D$27+HOME!$A$9,"",G42/(1+'NH3 reconversion'!$D$28)^C42)))</f>
        <v/>
      </c>
      <c r="J42" s="772" t="str">
        <f>IF(B42=HOME!$A$9,H42/(1+'NH3 reconversion'!$D$28)^C42,IF(B42&lt;HOME!$A$9,"",IF(B42&gt;'NH3 reconversion'!$D$27+HOME!$A$9,"",H42/(1+'NH3 reconversion'!$D$28)^C42)))</f>
        <v/>
      </c>
      <c r="K42" s="806" t="str">
        <f>IF(B42=HOME!$A$9,0,IF(B42&lt;HOME!$A$9,"",IF(B42&gt;'NH3 reconversion'!$D$27+HOME!$A$9,"", 'NH3 reconversion'!$D$37)))</f>
        <v/>
      </c>
      <c r="L42" s="807" t="str">
        <f>IF(B42=HOME!$A$9,K42/(1+'NH3 reconversion'!$D$28)^C42,IF(B42&lt;HOME!$A$9,"",IF(B42&gt;'NH3 reconversion'!$D$27+HOME!$A$9,"",K42/(1+'NH3 reconversion'!$D$28)^C42)))</f>
        <v/>
      </c>
    </row>
    <row r="43" spans="2:12" ht="17" thickTop="1"/>
  </sheetData>
  <sheetProtection algorithmName="SHA-512" hashValue="eWV63AjVO3N0NvKB0JMS1fvKJhy6dSQSAoVYQc9GGLlWjJGS6HfbjZ45N1ZPtUkNRSkoxs8IqEqkze7ca//OBw==" saltValue="7WSt5tofec9Bz3XMYvGpqw==" spinCount="100000" sheet="1" objects="1" scenarios="1"/>
  <hyperlinks>
    <hyperlink ref="A1" r:id="rId1" location="HOME!A1" display="applewebdata://31258B04-1677-4581-A769-CA032B874ED9/ - HOME!A1" xr:uid="{C669C8F4-8CF4-4D10-B3AD-DFA5F62A7924}"/>
  </hyperlinks>
  <pageMargins left="0.7" right="0.7" top="0.75" bottom="0.75" header="0.3" footer="0.3"/>
  <pageSetup paperSize="9"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451B-C93F-475B-AC74-D8FE5D65A2FC}">
  <sheetPr>
    <tabColor theme="7" tint="0.59999389629810485"/>
  </sheetPr>
  <dimension ref="A1:P61"/>
  <sheetViews>
    <sheetView topLeftCell="C1" zoomScale="70" zoomScaleNormal="70" workbookViewId="0">
      <selection activeCell="E11" sqref="E11:G11"/>
    </sheetView>
  </sheetViews>
  <sheetFormatPr baseColWidth="10" defaultColWidth="10.83203125" defaultRowHeight="16"/>
  <cols>
    <col min="1" max="1" width="18.5" style="2" bestFit="1" customWidth="1"/>
    <col min="2" max="2" width="18" style="2" customWidth="1"/>
    <col min="3" max="4" width="17" style="2" customWidth="1"/>
    <col min="5" max="5" width="16" style="2" bestFit="1" customWidth="1"/>
    <col min="6" max="6" width="62" style="2" bestFit="1" customWidth="1"/>
    <col min="7" max="7" width="40.5" style="2" bestFit="1" customWidth="1"/>
    <col min="8" max="9" width="10.83203125" style="2"/>
    <col min="10" max="10" width="39" style="2" bestFit="1" customWidth="1"/>
    <col min="11" max="12" width="10.83203125" style="2"/>
    <col min="13" max="13" width="10.83203125" style="2" customWidth="1"/>
    <col min="14" max="14" width="32.5" style="2" customWidth="1"/>
    <col min="15" max="16384" width="10.83203125" style="2"/>
  </cols>
  <sheetData>
    <row r="1" spans="1:16" ht="17" thickBot="1">
      <c r="A1" s="213" t="s">
        <v>234</v>
      </c>
      <c r="B1" s="236"/>
      <c r="C1" s="236"/>
      <c r="D1" s="236"/>
      <c r="E1" s="236"/>
      <c r="F1" s="236"/>
      <c r="G1" s="236"/>
    </row>
    <row r="2" spans="1:16" ht="19" thickBot="1">
      <c r="A2" s="236"/>
      <c r="B2" s="236"/>
      <c r="C2" s="236"/>
      <c r="D2" s="236"/>
      <c r="E2" s="236"/>
      <c r="F2" s="236"/>
      <c r="G2" s="236"/>
      <c r="J2" s="1308"/>
      <c r="K2" s="776" t="s">
        <v>566</v>
      </c>
      <c r="L2" s="777" t="s">
        <v>542</v>
      </c>
      <c r="M2" s="280"/>
      <c r="N2" s="1308"/>
      <c r="O2" s="808" t="s">
        <v>567</v>
      </c>
      <c r="P2" s="809" t="s">
        <v>568</v>
      </c>
    </row>
    <row r="3" spans="1:16">
      <c r="A3" s="1190" t="s">
        <v>569</v>
      </c>
      <c r="B3" s="1191"/>
      <c r="C3" s="1191"/>
      <c r="D3" s="1191"/>
      <c r="E3" s="1191"/>
      <c r="F3" s="1191"/>
      <c r="G3" s="1298"/>
      <c r="J3" s="1309"/>
      <c r="K3" s="778" t="s">
        <v>570</v>
      </c>
      <c r="L3" s="779" t="s">
        <v>75</v>
      </c>
      <c r="M3" s="280"/>
      <c r="N3" s="1309"/>
      <c r="O3" s="778" t="s">
        <v>570</v>
      </c>
      <c r="P3" s="779" t="s">
        <v>544</v>
      </c>
    </row>
    <row r="4" spans="1:16">
      <c r="A4" s="1193"/>
      <c r="B4" s="1194"/>
      <c r="C4" s="1194"/>
      <c r="D4" s="1194"/>
      <c r="E4" s="1194"/>
      <c r="F4" s="1194"/>
      <c r="G4" s="1299"/>
      <c r="J4" s="1310"/>
      <c r="K4" s="313"/>
      <c r="L4" s="780">
        <f>A5</f>
        <v>1.2403024685740236</v>
      </c>
      <c r="M4" s="280"/>
      <c r="N4" s="1310"/>
      <c r="O4" s="313"/>
      <c r="P4" s="780">
        <f>D43</f>
        <v>31094.396502976186</v>
      </c>
    </row>
    <row r="5" spans="1:16">
      <c r="A5" s="1149">
        <f>D46</f>
        <v>1.2403024685740236</v>
      </c>
      <c r="B5" s="1150"/>
      <c r="C5" s="1150"/>
      <c r="D5" s="1150"/>
      <c r="E5" s="1153" t="s">
        <v>236</v>
      </c>
      <c r="F5" s="1153"/>
      <c r="G5" s="1154"/>
      <c r="J5" s="668" t="s">
        <v>24</v>
      </c>
      <c r="K5" s="781">
        <f>HOME!B69*1000</f>
        <v>6325000</v>
      </c>
      <c r="L5" s="669">
        <f t="dataTable" ref="L5:L7" dt2D="0" dtr="0" r1="D25"/>
        <v>1.2403024685740236</v>
      </c>
      <c r="M5" s="280"/>
      <c r="N5" s="668" t="s">
        <v>24</v>
      </c>
      <c r="O5" s="781">
        <f>K5</f>
        <v>6325000</v>
      </c>
      <c r="P5" s="810">
        <f t="dataTable" ref="P5:P7" dt2D="0" dtr="0" r1="D25" ca="1"/>
        <v>31094.396502976186</v>
      </c>
    </row>
    <row r="6" spans="1:16" ht="17" thickBot="1">
      <c r="A6" s="1151"/>
      <c r="B6" s="1152"/>
      <c r="C6" s="1152"/>
      <c r="D6" s="1152"/>
      <c r="E6" s="1155"/>
      <c r="F6" s="1155"/>
      <c r="G6" s="1156"/>
      <c r="J6" s="668" t="s">
        <v>104</v>
      </c>
      <c r="K6" s="811">
        <f>Truck!D27*Truck!C49</f>
        <v>569250</v>
      </c>
      <c r="L6" s="669">
        <v>2.2280852421609141</v>
      </c>
      <c r="M6" s="280"/>
      <c r="N6" s="668" t="s">
        <v>104</v>
      </c>
      <c r="O6" s="811">
        <f>K6</f>
        <v>569250</v>
      </c>
      <c r="P6" s="810">
        <v>2798.4956852678574</v>
      </c>
    </row>
    <row r="7" spans="1:16" ht="17" thickBot="1">
      <c r="A7" s="553"/>
      <c r="B7" s="553"/>
      <c r="C7" s="553"/>
      <c r="D7" s="553"/>
      <c r="E7" s="553"/>
      <c r="F7" s="553"/>
      <c r="G7" s="553"/>
      <c r="J7" s="670"/>
      <c r="K7" s="812">
        <v>0</v>
      </c>
      <c r="L7" s="783" t="e">
        <v>#DIV/0!</v>
      </c>
      <c r="M7" s="280"/>
      <c r="N7" s="670"/>
      <c r="O7" s="812">
        <v>0</v>
      </c>
      <c r="P7" s="783">
        <v>0</v>
      </c>
    </row>
    <row r="8" spans="1:16">
      <c r="A8" s="1157" t="s">
        <v>237</v>
      </c>
      <c r="B8" s="1158"/>
      <c r="C8" s="1158"/>
      <c r="D8" s="1158"/>
      <c r="E8" s="1159">
        <f>HOME!A9</f>
        <v>2022</v>
      </c>
      <c r="F8" s="1159"/>
      <c r="G8" s="1160"/>
      <c r="J8" s="2" t="s">
        <v>280</v>
      </c>
    </row>
    <row r="9" spans="1:16">
      <c r="A9" s="280"/>
      <c r="B9" s="280"/>
      <c r="C9" s="280"/>
      <c r="D9" s="280"/>
      <c r="E9" s="280"/>
      <c r="F9" s="280"/>
      <c r="G9" s="280"/>
    </row>
    <row r="10" spans="1:16">
      <c r="A10" s="1177" t="s">
        <v>241</v>
      </c>
      <c r="B10" s="1178"/>
      <c r="C10" s="1178"/>
      <c r="D10" s="1178"/>
      <c r="E10" s="1179" t="s">
        <v>382</v>
      </c>
      <c r="F10" s="1179"/>
      <c r="G10" s="1180"/>
    </row>
    <row r="11" spans="1:16">
      <c r="A11" s="1313" t="s">
        <v>571</v>
      </c>
      <c r="B11" s="1314"/>
      <c r="C11" s="1314"/>
      <c r="D11" s="1314"/>
      <c r="E11" s="1311" t="s">
        <v>572</v>
      </c>
      <c r="F11" s="1311"/>
      <c r="G11" s="1312"/>
    </row>
    <row r="13" spans="1:16">
      <c r="A13" s="1157" t="s">
        <v>242</v>
      </c>
      <c r="B13" s="1158"/>
      <c r="C13" s="1158"/>
      <c r="D13" s="1158"/>
      <c r="E13" s="1159" t="str">
        <f>HOME!C9</f>
        <v>Spain</v>
      </c>
      <c r="F13" s="1159"/>
      <c r="G13" s="1160"/>
    </row>
    <row r="14" spans="1:16" ht="17" thickBot="1">
      <c r="A14" s="280"/>
      <c r="B14" s="280"/>
      <c r="C14" s="280"/>
      <c r="D14" s="280"/>
      <c r="E14" s="280"/>
      <c r="F14" s="280"/>
      <c r="G14" s="280"/>
    </row>
    <row r="15" spans="1:16" ht="17" thickBot="1">
      <c r="A15" s="1174" t="s">
        <v>243</v>
      </c>
      <c r="B15" s="1175"/>
      <c r="C15" s="1175"/>
      <c r="D15" s="1175"/>
      <c r="E15" s="1175"/>
      <c r="F15" s="1175"/>
      <c r="G15" s="1176"/>
    </row>
    <row r="16" spans="1:16">
      <c r="A16" s="556"/>
      <c r="B16" s="556"/>
      <c r="C16" s="556"/>
      <c r="D16" s="556"/>
      <c r="E16" s="556"/>
      <c r="F16" s="556"/>
      <c r="G16" s="556"/>
    </row>
    <row r="17" spans="1:9">
      <c r="A17" s="526" t="s">
        <v>154</v>
      </c>
      <c r="B17" s="526" t="s">
        <v>244</v>
      </c>
      <c r="C17" s="526" t="s">
        <v>245</v>
      </c>
      <c r="D17" s="526" t="s">
        <v>246</v>
      </c>
      <c r="E17" s="526" t="s">
        <v>247</v>
      </c>
      <c r="F17" s="603" t="s">
        <v>248</v>
      </c>
      <c r="G17" s="604"/>
    </row>
    <row r="19" spans="1:9" ht="18">
      <c r="A19" s="526" t="s">
        <v>191</v>
      </c>
      <c r="B19" s="727" cm="1">
        <f t="array" ref="B19">IFERROR(INDEX(Tb_Cpr243439[],MATCH(A19,Tb_Cpr243439[Parameter],0),HLOOKUP($E$10, 'Conversion data'!$AY$1:$AZ$2,2,FALSE)+2),"-")</f>
        <v>0</v>
      </c>
      <c r="C19" s="57"/>
      <c r="D19" s="597">
        <f>IF(ISBLANK(C19),B19,C19)</f>
        <v>0</v>
      </c>
      <c r="E19" s="335"/>
      <c r="F19" s="574" t="s">
        <v>573</v>
      </c>
      <c r="G19" s="1296" t="s">
        <v>574</v>
      </c>
    </row>
    <row r="20" spans="1:9">
      <c r="A20" s="526" t="s">
        <v>405</v>
      </c>
      <c r="B20" s="727" cm="1">
        <f t="array" ref="B20">IFERROR(INDEX(Tb_Cpr243439[],MATCH(A20,Tb_Cpr243439[Parameter],0),HLOOKUP($E$10, 'Conversion data'!$AY$1:$AZ$2,2,FALSE)+2),"-")</f>
        <v>0.9</v>
      </c>
      <c r="C20" s="57"/>
      <c r="D20" s="512">
        <f>IF(ISBLANK(C20),B20,C20)</f>
        <v>0.9</v>
      </c>
      <c r="E20" s="335"/>
      <c r="F20" s="658"/>
      <c r="G20" s="1296"/>
    </row>
    <row r="21" spans="1:9">
      <c r="A21" s="280"/>
      <c r="B21" s="280"/>
      <c r="D21" s="280"/>
      <c r="E21" s="280"/>
      <c r="F21" s="280"/>
      <c r="G21" s="616"/>
    </row>
    <row r="22" spans="1:9" ht="18">
      <c r="A22" s="526" t="s">
        <v>575</v>
      </c>
      <c r="B22" s="562">
        <f>(D23*(10^-3))/365</f>
        <v>94.655697117126905</v>
      </c>
      <c r="C22" s="124"/>
      <c r="D22" s="788">
        <f t="shared" ref="D22:D29" si="0">IF(ISBLANK(C22),B22,C22)</f>
        <v>94.655697117126905</v>
      </c>
      <c r="E22" s="789" t="s">
        <v>550</v>
      </c>
      <c r="F22" s="575" t="s">
        <v>576</v>
      </c>
      <c r="G22" s="1187" t="s">
        <v>577</v>
      </c>
    </row>
    <row r="23" spans="1:9" ht="18">
      <c r="A23" s="526" t="s">
        <v>578</v>
      </c>
      <c r="B23" s="562">
        <f>IF(E11="No recycling in the converter", 0.47*(D25+D26), 0.97*(D25+D26))</f>
        <v>34549329.447751321</v>
      </c>
      <c r="C23" s="124"/>
      <c r="D23" s="788">
        <f t="shared" si="0"/>
        <v>34549329.447751321</v>
      </c>
      <c r="E23" s="789" t="s">
        <v>570</v>
      </c>
      <c r="F23" s="575" t="s">
        <v>579</v>
      </c>
      <c r="G23" s="1189"/>
    </row>
    <row r="24" spans="1:9" ht="18">
      <c r="A24" s="526" t="s">
        <v>580</v>
      </c>
      <c r="B24" s="562">
        <f>(D25/'Conversion data'!$AY$16)*(10^3)</f>
        <v>3137400793.650794</v>
      </c>
      <c r="C24" s="124"/>
      <c r="D24" s="788">
        <f t="shared" si="0"/>
        <v>3137400793.650794</v>
      </c>
      <c r="E24" s="789" t="s">
        <v>581</v>
      </c>
      <c r="F24" s="575" t="s">
        <v>582</v>
      </c>
      <c r="G24" s="1189"/>
    </row>
    <row r="25" spans="1:9" ht="18">
      <c r="A25" s="526" t="s">
        <v>567</v>
      </c>
      <c r="B25" s="562">
        <f>HOME!B69*1000</f>
        <v>6325000</v>
      </c>
      <c r="C25" s="124"/>
      <c r="D25" s="788">
        <f t="shared" si="0"/>
        <v>6325000</v>
      </c>
      <c r="E25" s="789" t="s">
        <v>570</v>
      </c>
      <c r="F25" s="575" t="s">
        <v>259</v>
      </c>
      <c r="G25" s="1189"/>
    </row>
    <row r="26" spans="1:9" ht="18">
      <c r="A26" s="526" t="s">
        <v>583</v>
      </c>
      <c r="B26" s="562">
        <f>'Conversion data'!$AY$17*('NH3 conversion'!$D$27*(10^-3))</f>
        <v>29292865.410052914</v>
      </c>
      <c r="C26" s="124"/>
      <c r="D26" s="788">
        <f t="shared" si="0"/>
        <v>29292865.410052914</v>
      </c>
      <c r="E26" s="789" t="s">
        <v>584</v>
      </c>
      <c r="F26" s="575" t="s">
        <v>585</v>
      </c>
      <c r="G26" s="1189"/>
    </row>
    <row r="27" spans="1:9" ht="18">
      <c r="A27" s="526" t="s">
        <v>586</v>
      </c>
      <c r="B27" s="562">
        <f>D24/3</f>
        <v>1045800264.5502647</v>
      </c>
      <c r="C27" s="124"/>
      <c r="D27" s="788">
        <f t="shared" si="0"/>
        <v>1045800264.5502647</v>
      </c>
      <c r="E27" s="789" t="s">
        <v>581</v>
      </c>
      <c r="F27" s="575" t="s">
        <v>587</v>
      </c>
      <c r="G27" s="1189"/>
      <c r="I27" s="173"/>
    </row>
    <row r="28" spans="1:9" ht="18">
      <c r="A28" s="526" t="s">
        <v>417</v>
      </c>
      <c r="B28" s="505" cm="1">
        <f t="array" ref="B28">IFERROR(INDEX(Tb_Cpr243439[],MATCH(A28,Tb_Cpr243439[Parameter],0),HLOOKUP($E$10, 'Conversion data'!$AY$1:$AZ$2,2,FALSE)+2),"-")</f>
        <v>0.77777777777777768</v>
      </c>
      <c r="C28" s="124"/>
      <c r="D28" s="790">
        <f t="shared" si="0"/>
        <v>0.77777777777777768</v>
      </c>
      <c r="E28" s="651" t="s">
        <v>588</v>
      </c>
      <c r="F28" s="582" t="s">
        <v>589</v>
      </c>
      <c r="G28" s="1189"/>
    </row>
    <row r="29" spans="1:9" ht="18">
      <c r="A29" s="526" t="s">
        <v>421</v>
      </c>
      <c r="B29" s="505" cm="1">
        <f t="array" ref="B29">IFERROR(INDEX(Tb_Cpr243439[],MATCH(A29,Tb_Cpr243439[Parameter],0),HLOOKUP($E$10, 'Conversion data'!$AY$1:$AZ$2,2,FALSE)+2),"-")</f>
        <v>0.38888888888888884</v>
      </c>
      <c r="C29" s="124"/>
      <c r="D29" s="790">
        <f t="shared" si="0"/>
        <v>0.38888888888888884</v>
      </c>
      <c r="E29" s="651" t="s">
        <v>588</v>
      </c>
      <c r="F29" s="582" t="s">
        <v>590</v>
      </c>
      <c r="G29" s="1188"/>
    </row>
    <row r="30" spans="1:9">
      <c r="A30" s="280"/>
      <c r="B30" s="280"/>
      <c r="D30" s="280"/>
      <c r="E30" s="280" t="s">
        <v>280</v>
      </c>
      <c r="F30" s="280"/>
      <c r="G30" s="280"/>
    </row>
    <row r="31" spans="1:9" ht="18">
      <c r="A31" s="526" t="s">
        <v>202</v>
      </c>
      <c r="B31" s="506" cm="1">
        <f t="array" ref="B31">IFERROR(INDEX(Tb_Cpr243439[],MATCH(A31,Tb_Cpr243439[Parameter],0),HLOOKUP($E$10, 'Conversion data'!$AY$1:$AZ$2,2,FALSE)+2),"-")</f>
        <v>3.2500000000000001E-2</v>
      </c>
      <c r="C31" s="130"/>
      <c r="D31" s="791">
        <f t="shared" ref="D31:D38" si="1">IF(ISBLANK(C31),B31,C31)</f>
        <v>3.2500000000000001E-2</v>
      </c>
      <c r="E31" s="792"/>
      <c r="F31" s="582" t="s">
        <v>281</v>
      </c>
      <c r="G31" s="1187" t="s">
        <v>591</v>
      </c>
    </row>
    <row r="32" spans="1:9" ht="18">
      <c r="A32" s="571" t="s">
        <v>206</v>
      </c>
      <c r="B32" s="508" cm="1">
        <f t="array" ref="B32">IFERROR(INDEX(Tb_Cpr243439[],MATCH(A32,Tb_Cpr243439[Parameter],0),HLOOKUP($E$10, 'Conversion data'!$AY$1:$AZ$2,2,FALSE)+2),"-")</f>
        <v>28</v>
      </c>
      <c r="C32" s="125"/>
      <c r="D32" s="793">
        <f t="shared" si="1"/>
        <v>28</v>
      </c>
      <c r="E32" s="792" t="s">
        <v>207</v>
      </c>
      <c r="F32" s="585" t="s">
        <v>283</v>
      </c>
      <c r="G32" s="1189"/>
    </row>
    <row r="33" spans="1:9">
      <c r="A33" s="526" t="s">
        <v>211</v>
      </c>
      <c r="B33" s="506" cm="1">
        <f t="array" ref="B33">IFERROR((INDEX(Tb_Cpr243439[],MATCH(A33,Tb_Cpr243439[Parameter],0),HLOOKUP($E$10, 'Conversion data'!$AY$1:$AZ$2,2,FALSE)+2)+1)/(1+'General values'!R9)-1,"-")</f>
        <v>6.1086139562302133E-2</v>
      </c>
      <c r="C33" s="130"/>
      <c r="D33" s="791">
        <f t="shared" si="1"/>
        <v>6.1086139562302133E-2</v>
      </c>
      <c r="E33" s="792"/>
      <c r="F33" s="582" t="s">
        <v>284</v>
      </c>
      <c r="G33" s="1189"/>
    </row>
    <row r="34" spans="1:9" ht="18">
      <c r="A34" s="526" t="s">
        <v>592</v>
      </c>
      <c r="B34" s="508" cm="1">
        <f t="array" ref="B34">IFERROR(INDEX(Tb_Cpr243439[],MATCH(A34,Tb_Cpr243439[Parameter],0),HLOOKUP($E$10, 'Conversion data'!$AY$1:$AZ$2,2,FALSE)+2),"-")</f>
        <v>0.7</v>
      </c>
      <c r="C34" s="124"/>
      <c r="D34" s="790">
        <f t="shared" si="1"/>
        <v>0.7</v>
      </c>
      <c r="E34" s="651"/>
      <c r="F34" s="582" t="s">
        <v>593</v>
      </c>
      <c r="G34" s="1189"/>
    </row>
    <row r="35" spans="1:9" ht="18">
      <c r="A35" s="526" t="s">
        <v>445</v>
      </c>
      <c r="B35" s="508" cm="1">
        <f t="array" ref="B35">IFERROR(INDEX(Tb_Cpr243439[],MATCH(A35,Tb_Cpr243439[Parameter],0),HLOOKUP($E$10, 'Conversion data'!$AY$1:$AZ$2,2,FALSE)+2),"-")</f>
        <v>244.3577074210921</v>
      </c>
      <c r="C35" s="124"/>
      <c r="D35" s="790">
        <f t="shared" si="1"/>
        <v>244.3577074210921</v>
      </c>
      <c r="E35" s="651" t="s">
        <v>292</v>
      </c>
      <c r="F35" s="582" t="s">
        <v>594</v>
      </c>
      <c r="G35" s="1189"/>
    </row>
    <row r="36" spans="1:9" ht="18">
      <c r="A36" s="526" t="s">
        <v>449</v>
      </c>
      <c r="B36" s="508" cm="1">
        <f t="array" ref="B36">IFERROR(INDEX(Tb_Cpr243439[],MATCH(A36,Tb_Cpr243439[Parameter],0),HLOOKUP($E$10, 'Conversion data'!$AY$1:$AZ$2,2,FALSE)+2),"-")</f>
        <v>184.51500356286545</v>
      </c>
      <c r="C36" s="124"/>
      <c r="D36" s="790">
        <f>IF(ISBLANK(C36),B36,C36)</f>
        <v>184.51500356286545</v>
      </c>
      <c r="E36" s="651" t="s">
        <v>292</v>
      </c>
      <c r="F36" s="582" t="s">
        <v>595</v>
      </c>
      <c r="G36" s="1189"/>
    </row>
    <row r="37" spans="1:9" ht="18">
      <c r="A37" s="526" t="s">
        <v>454</v>
      </c>
      <c r="B37" s="508" cm="1">
        <f t="array" ref="B37">IFERROR(INDEX(Tb_Cpr243439[],MATCH(A37,Tb_Cpr243439[Parameter],0),HLOOKUP($E$10, 'Conversion data'!$AY$1:$AZ$2,2,FALSE)+2),"-")</f>
        <v>2200</v>
      </c>
      <c r="C37" s="124"/>
      <c r="D37" s="790">
        <f t="shared" si="1"/>
        <v>2200</v>
      </c>
      <c r="E37" s="651" t="s">
        <v>455</v>
      </c>
      <c r="F37" s="582" t="s">
        <v>596</v>
      </c>
      <c r="G37" s="1189"/>
    </row>
    <row r="38" spans="1:9">
      <c r="A38" s="526" t="s">
        <v>296</v>
      </c>
      <c r="B38" s="572">
        <f>((D35+D36)*((D22/D37)^D34))</f>
        <v>47.417130361527811</v>
      </c>
      <c r="C38" s="124"/>
      <c r="D38" s="794">
        <f t="shared" si="1"/>
        <v>47.417130361527811</v>
      </c>
      <c r="E38" s="468" t="s">
        <v>292</v>
      </c>
      <c r="F38" s="582"/>
      <c r="G38" s="1188"/>
    </row>
    <row r="39" spans="1:9" ht="17" thickBot="1">
      <c r="A39" s="280"/>
      <c r="B39" s="280"/>
    </row>
    <row r="40" spans="1:9" ht="17" thickBot="1">
      <c r="A40" s="1102" t="s">
        <v>297</v>
      </c>
      <c r="B40" s="1104"/>
      <c r="C40" s="1104"/>
      <c r="D40" s="1104"/>
      <c r="E40" s="1104"/>
      <c r="F40" s="1104"/>
      <c r="G40" s="1105"/>
    </row>
    <row r="42" spans="1:9" ht="18">
      <c r="A42" s="1172" t="s">
        <v>520</v>
      </c>
      <c r="B42" s="1173"/>
      <c r="C42" s="1173"/>
      <c r="D42" s="414">
        <f>(((D28+D29)*(D22*(1000/24)))*D20*8760)/1000</f>
        <v>36276.795920138873</v>
      </c>
      <c r="E42" s="415" t="s">
        <v>521</v>
      </c>
    </row>
    <row r="43" spans="1:9" ht="18">
      <c r="A43" s="1172" t="s">
        <v>597</v>
      </c>
      <c r="B43" s="1173"/>
      <c r="C43" s="1173"/>
      <c r="D43" s="601">
        <f>((D22*(1000/24))*D20*(1-D19)*8760)/1000</f>
        <v>31094.396502976186</v>
      </c>
      <c r="E43" s="415" t="s">
        <v>598</v>
      </c>
    </row>
    <row r="44" spans="1:9" ht="18">
      <c r="A44" s="1172" t="s">
        <v>599</v>
      </c>
      <c r="B44" s="1173"/>
      <c r="C44" s="1173"/>
      <c r="D44" s="601">
        <f>0.1765*D43</f>
        <v>5488.1609827752964</v>
      </c>
      <c r="E44" s="415" t="s">
        <v>561</v>
      </c>
      <c r="G44" s="176"/>
    </row>
    <row r="45" spans="1:9" ht="17" thickBot="1">
      <c r="A45" s="280"/>
      <c r="B45" s="280"/>
      <c r="C45" s="280"/>
      <c r="D45" s="280"/>
      <c r="E45" s="280"/>
    </row>
    <row r="46" spans="1:9" ht="19" thickBot="1">
      <c r="A46" s="1074" t="s">
        <v>600</v>
      </c>
      <c r="B46" s="1075"/>
      <c r="C46" s="1075"/>
      <c r="D46" s="602">
        <f>SUM('CFA NH3 conversion'!J4:J42)*10^6/(SUM('CFA NH3 conversion'!L4:L42)*1000)</f>
        <v>1.2403024685740236</v>
      </c>
      <c r="E46" s="419" t="s">
        <v>75</v>
      </c>
      <c r="H46" s="240"/>
      <c r="I46" s="274"/>
    </row>
    <row r="47" spans="1:9">
      <c r="A47" s="1071" t="s">
        <v>321</v>
      </c>
      <c r="B47" s="1072"/>
      <c r="C47" s="1072"/>
      <c r="D47" s="1072"/>
      <c r="E47" s="1073"/>
    </row>
    <row r="48" spans="1:9" ht="18">
      <c r="A48" s="1067" t="s">
        <v>601</v>
      </c>
      <c r="B48" s="1068"/>
      <c r="C48" s="1068"/>
      <c r="D48" s="795">
        <f>D46-D49</f>
        <v>0.93245449641491285</v>
      </c>
      <c r="E48" s="421" t="s">
        <v>75</v>
      </c>
    </row>
    <row r="49" spans="1:5" ht="19" thickBot="1">
      <c r="A49" s="1069" t="s">
        <v>526</v>
      </c>
      <c r="B49" s="1070"/>
      <c r="C49" s="1070"/>
      <c r="D49" s="796">
        <f>SUM('CFA NH3 conversion'!I4:I42)*10^6/(SUM('CFA NH3 conversion'!L4:L42)*1000)</f>
        <v>0.30784797215911081</v>
      </c>
      <c r="E49" s="423" t="s">
        <v>75</v>
      </c>
    </row>
    <row r="50" spans="1:5">
      <c r="A50" s="280"/>
      <c r="B50" s="280"/>
      <c r="C50" s="280"/>
      <c r="D50" s="280"/>
      <c r="E50" s="280"/>
    </row>
    <row r="52" spans="1:5" ht="15.75" customHeight="1"/>
    <row r="54" spans="1:5" ht="18" customHeight="1"/>
    <row r="61" spans="1:5" ht="16" customHeight="1"/>
  </sheetData>
  <sheetProtection algorithmName="SHA-512" hashValue="31RV1B5RC7+34E7rHkVtjozGYc5Bok2+K7TQpx+KLE/Xke2ZyZVq6RGhQdgZaHyAh9oIJiJzeZAo0OhfzJ+y9Q==" saltValue="rFJ7kq8d4xGpXIDro1LAjg==" spinCount="100000" sheet="1" objects="1" scenarios="1"/>
  <mergeCells count="25">
    <mergeCell ref="J2:J4"/>
    <mergeCell ref="N2:N4"/>
    <mergeCell ref="G22:G29"/>
    <mergeCell ref="G31:G38"/>
    <mergeCell ref="A47:E47"/>
    <mergeCell ref="A3:G4"/>
    <mergeCell ref="A5:D6"/>
    <mergeCell ref="E5:G6"/>
    <mergeCell ref="A8:D8"/>
    <mergeCell ref="E8:G8"/>
    <mergeCell ref="A10:D10"/>
    <mergeCell ref="E10:G10"/>
    <mergeCell ref="A13:D13"/>
    <mergeCell ref="E13:G13"/>
    <mergeCell ref="A15:G15"/>
    <mergeCell ref="A11:D11"/>
    <mergeCell ref="E11:G11"/>
    <mergeCell ref="A48:C48"/>
    <mergeCell ref="A49:C49"/>
    <mergeCell ref="A40:G40"/>
    <mergeCell ref="A42:C42"/>
    <mergeCell ref="A43:C43"/>
    <mergeCell ref="A46:C46"/>
    <mergeCell ref="A44:C44"/>
    <mergeCell ref="G19:G20"/>
  </mergeCells>
  <hyperlinks>
    <hyperlink ref="A1" r:id="rId1" location="HOME!A1" display="applewebdata://31258B04-1677-4581-A769-CA032B874ED9/ - HOME!A1" xr:uid="{FCBF0203-E02B-43CE-BE5D-A9B99824FBD9}"/>
    <hyperlink ref="A1" location="HOME!A1" display="HOME" xr:uid="{A833D7AE-41A9-4C47-AD5F-3D1AF4AAE78D}"/>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A2795DE5-731D-4902-BE12-BFDD2A1D6705}">
          <x14:formula1>
            <xm:f>'List DB'!$Q$37:$Q$38</xm:f>
          </x14:formula1>
          <xm:sqref>E11:G11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1976B-F008-4EDE-8A10-CB0A118CE60C}">
  <sheetPr>
    <tabColor theme="7" tint="0.79998168889431442"/>
  </sheetPr>
  <dimension ref="A1:N43"/>
  <sheetViews>
    <sheetView zoomScale="60" zoomScaleNormal="60" workbookViewId="0">
      <selection activeCell="B2" sqref="B2:L42"/>
    </sheetView>
  </sheetViews>
  <sheetFormatPr baseColWidth="10" defaultColWidth="8.83203125" defaultRowHeight="16"/>
  <cols>
    <col min="1" max="3" width="10.83203125" style="31" customWidth="1"/>
    <col min="4" max="4" width="16" style="31" bestFit="1" customWidth="1"/>
    <col min="5" max="21" width="10.83203125" style="31" customWidth="1"/>
    <col min="22" max="16384" width="8.83203125" style="31"/>
  </cols>
  <sheetData>
    <row r="1" spans="1:14" ht="17" thickBot="1">
      <c r="A1" s="151" t="s">
        <v>234</v>
      </c>
    </row>
    <row r="2" spans="1:14" ht="18" thickTop="1">
      <c r="B2" s="739"/>
      <c r="C2" s="740"/>
      <c r="D2" s="741" t="s">
        <v>527</v>
      </c>
      <c r="E2" s="742" t="s">
        <v>528</v>
      </c>
      <c r="F2" s="743" t="s">
        <v>528</v>
      </c>
      <c r="G2" s="742" t="s">
        <v>528</v>
      </c>
      <c r="H2" s="744" t="s">
        <v>528</v>
      </c>
      <c r="I2" s="745" t="s">
        <v>528</v>
      </c>
      <c r="J2" s="745" t="s">
        <v>528</v>
      </c>
      <c r="K2" s="746" t="s">
        <v>529</v>
      </c>
      <c r="L2" s="747" t="s">
        <v>529</v>
      </c>
    </row>
    <row r="3" spans="1:14" ht="68">
      <c r="B3" s="748" t="s">
        <v>530</v>
      </c>
      <c r="C3" s="749" t="s">
        <v>531</v>
      </c>
      <c r="D3" s="750" t="s">
        <v>532</v>
      </c>
      <c r="E3" s="751" t="s">
        <v>533</v>
      </c>
      <c r="F3" s="752" t="s">
        <v>534</v>
      </c>
      <c r="G3" s="751" t="s">
        <v>535</v>
      </c>
      <c r="H3" s="753" t="s">
        <v>536</v>
      </c>
      <c r="I3" s="754" t="s">
        <v>537</v>
      </c>
      <c r="J3" s="755" t="s">
        <v>538</v>
      </c>
      <c r="K3" s="756" t="s">
        <v>602</v>
      </c>
      <c r="L3" s="757" t="s">
        <v>603</v>
      </c>
    </row>
    <row r="4" spans="1:14">
      <c r="B4" s="758">
        <v>2022</v>
      </c>
      <c r="C4" s="759">
        <f>IF(B4=HOME!$A$9,B4-HOME!$A$9,IF(B4&lt;HOME!$A$9,"",IF(B4&gt;HOME!$A$9+'NH3 conversion'!$D$32,"",B4-HOME!$A$9)))</f>
        <v>0</v>
      </c>
      <c r="D4" s="760" cm="1">
        <f t="array" ref="D4">IF(B4=HOME!$A$9,0,IF(B4&lt;HOME!$A$9,"",IF(B4&gt;'NH3 conversion'!$D$32+HOME!$A$9,"",IF(HOME!$B$64="Electrolysis",IF(HOME!$B$65="Grid",INDEX(Tb_Fuel[],MATCH(B4,Tb_Fuel[Year],0),HLOOKUP('NH3 conversion'!$E$14&amp;" - Grid",'Fuel Data'!$BB$2:$BX$3,2,FALSE)+1),INDEX(Tb_LCOE[],MATCH(HOME!$A$9,Tb_LCOE[Year],0),HLOOKUP("LCOE"&amp;HOME!$B$65,LCOE!$B$3:$G$4,2,FALSE)+1)/1000),INDEX(Tb_Fuel[],MATCH(B4,Tb_Fuel[Year],0),HLOOKUP(Compression!$E$14&amp;" - Gas",'Fuel Data'!$BB$2:$BX$3,2,FALSE)+1)/0.3))))</f>
        <v>0</v>
      </c>
      <c r="E4" s="760">
        <f>IF(B4=HOME!$A$9,'NH3 conversion'!$D$38,IF(B4&lt;HOME!$A$9,"",IF(B4&gt;'NH3 conversion'!$D$32+HOME!$A$9,"",0)))</f>
        <v>47.417130361527811</v>
      </c>
      <c r="F4" s="760">
        <f>IF(B4=HOME!$A$9,0,IF(B4&lt;HOME!$A$9,"",IF(B4&gt;'NH3 conversion'!$D$32+HOME!$A$9,"",'NH3 conversion'!$D$38*'NH3 conversion'!$D$31)))</f>
        <v>0</v>
      </c>
      <c r="G4" s="760">
        <f>IF(B4=HOME!$A$9,0,IF(B4&lt;HOME!$A$9,"",IF(B4&gt;'NH3 conversion'!$D$32+HOME!$A$9,"",D4/10^6*'NH3 conversion'!$D$42*1000)))</f>
        <v>0</v>
      </c>
      <c r="H4" s="760">
        <f>IF(B4=HOME!$A$9,SUM(E4:G4),IF(B4&lt;HOME!$A$9,"",IF(B4&gt;'NH3 conversion'!$D$32+HOME!$A$9,"",SUM(E4:G4))))</f>
        <v>47.417130361527811</v>
      </c>
      <c r="I4" s="760">
        <f>IF(B4=HOME!$A$9,G4/(1+'NH3 conversion'!$D$33)^C4,IF(B4&lt;HOME!$A$9,"",IF(B4&gt;'NH3 conversion'!$D$32+HOME!$A$9,"",G4/(1+'NH3 conversion'!$D$33)^C4)))</f>
        <v>0</v>
      </c>
      <c r="J4" s="760">
        <f>IF(B4=HOME!$A$9,H4/(1+'NH3 conversion'!$D$33)^C4,IF(B4&lt;HOME!$A$9,"",IF(B4&gt;'NH3 conversion'!$D$32+HOME!$A$9,"",H4/(1+'NH3 conversion'!$D$33)^C4)))</f>
        <v>47.417130361527811</v>
      </c>
      <c r="K4" s="802">
        <f>IF(B4=HOME!$A$9,0,IF(B4&lt;HOME!$A$9,"",IF(B4&gt;'NH3 conversion'!$D$32+HOME!$A$9,"", 'NH3 conversion'!$D$44)))</f>
        <v>0</v>
      </c>
      <c r="L4" s="803">
        <f>IF(B4=HOME!$A$9,K4/(1+'NH3 conversion'!$D$33)^C4,IF(B4&lt;HOME!$A$9,"",IF(B4&gt;'NH3 conversion'!$D$32+HOME!$A$9,"",K4/(1+'NH3 conversion'!$D$33)^C4)))</f>
        <v>0</v>
      </c>
      <c r="N4" s="88"/>
    </row>
    <row r="5" spans="1:14">
      <c r="B5" s="764">
        <v>2023</v>
      </c>
      <c r="C5" s="765">
        <f>IF(B5=HOME!$A$9,B5-HOME!$A$9,IF(B5&lt;HOME!$A$9,"",IF(B5&gt;HOME!$A$9+'NH3 conversion'!$D$32,"",B5-HOME!$A$9)))</f>
        <v>1</v>
      </c>
      <c r="D5" s="766" cm="1">
        <f t="array" ref="D5">IF(B5=HOME!$A$9,0,IF(B5&lt;HOME!$A$9,"",IF(B5&gt;'NH3 conversion'!$D$32+HOME!$A$9,"",IF(HOME!$B$64="Electrolysis",IF(HOME!$B$65="Grid",INDEX(Tb_Fuel[],MATCH(B5,Tb_Fuel[Year],0),HLOOKUP('NH3 conversion'!$E$14&amp;" - Grid",'Fuel Data'!$BB$2:$BX$3,2,FALSE)+1),INDEX(Tb_LCOE[],MATCH(HOME!$A$9,Tb_LCOE[Year],0),HLOOKUP("LCOE"&amp;HOME!$B$65,LCOE!$B$3:$G$4,2,FALSE)+1)/1000),INDEX(Tb_Fuel[],MATCH(B5,Tb_Fuel[Year],0),HLOOKUP(Compression!$E$14&amp;" - Gas",'Fuel Data'!$BB$2:$BX$3,2,FALSE)+1)/0.3))))</f>
        <v>4.657300035949978E-2</v>
      </c>
      <c r="E5" s="766">
        <f>IF(B5=HOME!$A$9,'NH3 conversion'!$D$38,IF(B5&lt;HOME!$A$9,"",IF(B5&gt;'NH3 conversion'!$D$32+HOME!$A$9,"",0)))</f>
        <v>0</v>
      </c>
      <c r="F5" s="766">
        <f>IF(B5=HOME!$A$9,0,IF(B5&lt;HOME!$A$9,"",IF(B5&gt;'NH3 conversion'!$D$32+HOME!$A$9,"",'NH3 conversion'!$D$38*'NH3 conversion'!$D$31)))</f>
        <v>1.5410567367496539</v>
      </c>
      <c r="G5" s="766">
        <f>IF(B5=HOME!$A$9,0,IF(B5&lt;HOME!$A$9,"",IF(B5&gt;'NH3 conversion'!$D$32+HOME!$A$9,"",D5/10^6*'NH3 conversion'!$D$42*1000)))</f>
        <v>1.689519229430128</v>
      </c>
      <c r="H5" s="766">
        <f>IF(B5=HOME!$A$9,SUM(E5:G5),IF(B5&lt;HOME!$A$9,"",IF(B5&gt;'NH3 conversion'!$D$32+HOME!$A$9,"",SUM(E5:G5))))</f>
        <v>3.2305759661797819</v>
      </c>
      <c r="I5" s="766">
        <f>IF(B5=HOME!$A$9,G5/(1+'NH3 conversion'!$D$33)^C5,IF(B5&lt;HOME!$A$9,"",IF(B5&gt;'NH3 conversion'!$D$32+HOME!$A$9,"",G5/(1+'NH3 conversion'!$D$33)^C5)))</f>
        <v>1.5922545460136295</v>
      </c>
      <c r="J5" s="766">
        <f>IF(B5=HOME!$A$9,H5/(1+'NH3 conversion'!$D$33)^C5,IF(B5&lt;HOME!$A$9,"",IF(B5&gt;'NH3 conversion'!$D$32+HOME!$A$9,"",H5/(1+'NH3 conversion'!$D$33)^C5)))</f>
        <v>3.044593502571237</v>
      </c>
      <c r="K5" s="804">
        <f>IF(B5=HOME!$A$9,0,IF(B5&lt;HOME!$A$9,"",IF(B5&gt;'NH3 conversion'!$D$32+HOME!$A$9,"", 'NH3 conversion'!$D$44)))</f>
        <v>5488.1609827752964</v>
      </c>
      <c r="L5" s="805">
        <f>IF(B5=HOME!$A$9,K5/(1+'NH3 conversion'!$D$33)^C5,IF(B5&lt;HOME!$A$9,"",IF(B5&gt;'NH3 conversion'!$D$32+HOME!$A$9,"",K5/(1+'NH3 conversion'!$D$33)^C5)))</f>
        <v>5172.2106039752452</v>
      </c>
      <c r="N5" s="88"/>
    </row>
    <row r="6" spans="1:14">
      <c r="B6" s="764">
        <v>2024</v>
      </c>
      <c r="C6" s="765">
        <f>IF(B6=HOME!$A$9,B6-HOME!$A$9,IF(B6&lt;HOME!$A$9,"",IF(B6&gt;HOME!$A$9+'NH3 conversion'!$D$32,"",B6-HOME!$A$9)))</f>
        <v>2</v>
      </c>
      <c r="D6" s="766" cm="1">
        <f t="array" ref="D6">IF(B6=HOME!$A$9,0,IF(B6&lt;HOME!$A$9,"",IF(B6&gt;'NH3 conversion'!$D$32+HOME!$A$9,"",IF(HOME!$B$64="Electrolysis",IF(HOME!$B$65="Grid",INDEX(Tb_Fuel[],MATCH(B6,Tb_Fuel[Year],0),HLOOKUP('NH3 conversion'!$E$14&amp;" - Grid",'Fuel Data'!$BB$2:$BX$3,2,FALSE)+1),INDEX(Tb_LCOE[],MATCH(HOME!$A$9,Tb_LCOE[Year],0),HLOOKUP("LCOE"&amp;HOME!$B$65,LCOE!$B$3:$G$4,2,FALSE)+1)/1000),INDEX(Tb_Fuel[],MATCH(B6,Tb_Fuel[Year],0),HLOOKUP(Compression!$E$14&amp;" - Gas",'Fuel Data'!$BB$2:$BX$3,2,FALSE)+1)/0.3))))</f>
        <v>4.657300035949978E-2</v>
      </c>
      <c r="E6" s="766">
        <f>IF(B6=HOME!$A$9,'NH3 conversion'!$D$38,IF(B6&lt;HOME!$A$9,"",IF(B6&gt;'NH3 conversion'!$D$32+HOME!$A$9,"",0)))</f>
        <v>0</v>
      </c>
      <c r="F6" s="766">
        <f>IF(B6=HOME!$A$9,0,IF(B6&lt;HOME!$A$9,"",IF(B6&gt;'NH3 conversion'!$D$32+HOME!$A$9,"",'NH3 conversion'!$D$38*'NH3 conversion'!$D$31)))</f>
        <v>1.5410567367496539</v>
      </c>
      <c r="G6" s="766">
        <f>IF(B6=HOME!$A$9,0,IF(B6&lt;HOME!$A$9,"",IF(B6&gt;'NH3 conversion'!$D$32+HOME!$A$9,"",D6/10^6*'NH3 conversion'!$D$42*1000)))</f>
        <v>1.689519229430128</v>
      </c>
      <c r="H6" s="766">
        <f>IF(B6=HOME!$A$9,SUM(E6:G6),IF(B6&lt;HOME!$A$9,"",IF(B6&gt;'NH3 conversion'!$D$32+HOME!$A$9,"",SUM(E6:G6))))</f>
        <v>3.2305759661797819</v>
      </c>
      <c r="I6" s="766">
        <f>IF(B6=HOME!$A$9,G6/(1+'NH3 conversion'!$D$33)^C6,IF(B6&lt;HOME!$A$9,"",IF(B6&gt;'NH3 conversion'!$D$32+HOME!$A$9,"",G6/(1+'NH3 conversion'!$D$33)^C6)))</f>
        <v>1.5005893363854836</v>
      </c>
      <c r="J6" s="766">
        <f>IF(B6=HOME!$A$9,H6/(1+'NH3 conversion'!$D$33)^C6,IF(B6&lt;HOME!$A$9,"",IF(B6&gt;'NH3 conversion'!$D$32+HOME!$A$9,"",H6/(1+'NH3 conversion'!$D$33)^C6)))</f>
        <v>2.8693179460690454</v>
      </c>
      <c r="K6" s="804">
        <f>IF(B6=HOME!$A$9,0,IF(B6&lt;HOME!$A$9,"",IF(B6&gt;'NH3 conversion'!$D$32+HOME!$A$9,"", 'NH3 conversion'!$D$44)))</f>
        <v>5488.1609827752964</v>
      </c>
      <c r="L6" s="805">
        <f>IF(B6=HOME!$A$9,K6/(1+'NH3 conversion'!$D$33)^C6,IF(B6&lt;HOME!$A$9,"",IF(B6&gt;'NH3 conversion'!$D$32+HOME!$A$9,"",K6/(1+'NH3 conversion'!$D$33)^C6)))</f>
        <v>4874.4493129547254</v>
      </c>
      <c r="N6" s="88"/>
    </row>
    <row r="7" spans="1:14">
      <c r="B7" s="764">
        <v>2025</v>
      </c>
      <c r="C7" s="765">
        <f>IF(B7=HOME!$A$9,B7-HOME!$A$9,IF(B7&lt;HOME!$A$9,"",IF(B7&gt;HOME!$A$9+'NH3 conversion'!$D$32,"",B7-HOME!$A$9)))</f>
        <v>3</v>
      </c>
      <c r="D7" s="766" cm="1">
        <f t="array" ref="D7">IF(B7=HOME!$A$9,0,IF(B7&lt;HOME!$A$9,"",IF(B7&gt;'NH3 conversion'!$D$32+HOME!$A$9,"",IF(HOME!$B$64="Electrolysis",IF(HOME!$B$65="Grid",INDEX(Tb_Fuel[],MATCH(B7,Tb_Fuel[Year],0),HLOOKUP('NH3 conversion'!$E$14&amp;" - Grid",'Fuel Data'!$BB$2:$BX$3,2,FALSE)+1),INDEX(Tb_LCOE[],MATCH(HOME!$A$9,Tb_LCOE[Year],0),HLOOKUP("LCOE"&amp;HOME!$B$65,LCOE!$B$3:$G$4,2,FALSE)+1)/1000),INDEX(Tb_Fuel[],MATCH(B7,Tb_Fuel[Year],0),HLOOKUP(Compression!$E$14&amp;" - Gas",'Fuel Data'!$BB$2:$BX$3,2,FALSE)+1)/0.3))))</f>
        <v>4.657300035949978E-2</v>
      </c>
      <c r="E7" s="766">
        <f>IF(B7=HOME!$A$9,'NH3 conversion'!$D$38,IF(B7&lt;HOME!$A$9,"",IF(B7&gt;'NH3 conversion'!$D$32+HOME!$A$9,"",0)))</f>
        <v>0</v>
      </c>
      <c r="F7" s="766">
        <f>IF(B7=HOME!$A$9,0,IF(B7&lt;HOME!$A$9,"",IF(B7&gt;'NH3 conversion'!$D$32+HOME!$A$9,"",'NH3 conversion'!$D$38*'NH3 conversion'!$D$31)))</f>
        <v>1.5410567367496539</v>
      </c>
      <c r="G7" s="766">
        <f>IF(B7=HOME!$A$9,0,IF(B7&lt;HOME!$A$9,"",IF(B7&gt;'NH3 conversion'!$D$32+HOME!$A$9,"",D7/10^6*'NH3 conversion'!$D$42*1000)))</f>
        <v>1.689519229430128</v>
      </c>
      <c r="H7" s="766">
        <f>IF(B7=HOME!$A$9,SUM(E7:G7),IF(B7&lt;HOME!$A$9,"",IF(B7&gt;'NH3 conversion'!$D$32+HOME!$A$9,"",SUM(E7:G7))))</f>
        <v>3.2305759661797819</v>
      </c>
      <c r="I7" s="766">
        <f>IF(B7=HOME!$A$9,G7/(1+'NH3 conversion'!$D$33)^C7,IF(B7&lt;HOME!$A$9,"",IF(B7&gt;'NH3 conversion'!$D$32+HOME!$A$9,"",G7/(1+'NH3 conversion'!$D$33)^C7)))</f>
        <v>1.4142012419505137</v>
      </c>
      <c r="J7" s="766">
        <f>IF(B7=HOME!$A$9,H7/(1+'NH3 conversion'!$D$33)^C7,IF(B7&lt;HOME!$A$9,"",IF(B7&gt;'NH3 conversion'!$D$32+HOME!$A$9,"",H7/(1+'NH3 conversion'!$D$33)^C7)))</f>
        <v>2.7041329059793759</v>
      </c>
      <c r="K7" s="804">
        <f>IF(B7=HOME!$A$9,0,IF(B7&lt;HOME!$A$9,"",IF(B7&gt;'NH3 conversion'!$D$32+HOME!$A$9,"", 'NH3 conversion'!$D$44)))</f>
        <v>5488.1609827752964</v>
      </c>
      <c r="L7" s="805">
        <f>IF(B7=HOME!$A$9,K7/(1+'NH3 conversion'!$D$33)^C7,IF(B7&lt;HOME!$A$9,"",IF(B7&gt;'NH3 conversion'!$D$32+HOME!$A$9,"",K7/(1+'NH3 conversion'!$D$33)^C7)))</f>
        <v>4593.8299740353177</v>
      </c>
      <c r="N7" s="88"/>
    </row>
    <row r="8" spans="1:14">
      <c r="B8" s="764">
        <v>2026</v>
      </c>
      <c r="C8" s="765">
        <f>IF(B8=HOME!$A$9,B8-HOME!$A$9,IF(B8&lt;HOME!$A$9,"",IF(B8&gt;HOME!$A$9+'NH3 conversion'!$D$32,"",B8-HOME!$A$9)))</f>
        <v>4</v>
      </c>
      <c r="D8" s="766" cm="1">
        <f t="array" ref="D8">IF(B8=HOME!$A$9,0,IF(B8&lt;HOME!$A$9,"",IF(B8&gt;'NH3 conversion'!$D$32+HOME!$A$9,"",IF(HOME!$B$64="Electrolysis",IF(HOME!$B$65="Grid",INDEX(Tb_Fuel[],MATCH(B8,Tb_Fuel[Year],0),HLOOKUP('NH3 conversion'!$E$14&amp;" - Grid",'Fuel Data'!$BB$2:$BX$3,2,FALSE)+1),INDEX(Tb_LCOE[],MATCH(HOME!$A$9,Tb_LCOE[Year],0),HLOOKUP("LCOE"&amp;HOME!$B$65,LCOE!$B$3:$G$4,2,FALSE)+1)/1000),INDEX(Tb_Fuel[],MATCH(B8,Tb_Fuel[Year],0),HLOOKUP(Compression!$E$14&amp;" - Gas",'Fuel Data'!$BB$2:$BX$3,2,FALSE)+1)/0.3))))</f>
        <v>4.657300035949978E-2</v>
      </c>
      <c r="E8" s="766">
        <f>IF(B8=HOME!$A$9,'NH3 conversion'!$D$38,IF(B8&lt;HOME!$A$9,"",IF(B8&gt;'NH3 conversion'!$D$32+HOME!$A$9,"",0)))</f>
        <v>0</v>
      </c>
      <c r="F8" s="766">
        <f>IF(B8=HOME!$A$9,0,IF(B8&lt;HOME!$A$9,"",IF(B8&gt;'NH3 conversion'!$D$32+HOME!$A$9,"",'NH3 conversion'!$D$38*'NH3 conversion'!$D$31)))</f>
        <v>1.5410567367496539</v>
      </c>
      <c r="G8" s="766">
        <f>IF(B8=HOME!$A$9,0,IF(B8&lt;HOME!$A$9,"",IF(B8&gt;'NH3 conversion'!$D$32+HOME!$A$9,"",D8/10^6*'NH3 conversion'!$D$42*1000)))</f>
        <v>1.689519229430128</v>
      </c>
      <c r="H8" s="766">
        <f>IF(B8=HOME!$A$9,SUM(E8:G8),IF(B8&lt;HOME!$A$9,"",IF(B8&gt;'NH3 conversion'!$D$32+HOME!$A$9,"",SUM(E8:G8))))</f>
        <v>3.2305759661797819</v>
      </c>
      <c r="I8" s="766">
        <f>IF(B8=HOME!$A$9,G8/(1+'NH3 conversion'!$D$33)^C8,IF(B8&lt;HOME!$A$9,"",IF(B8&gt;'NH3 conversion'!$D$32+HOME!$A$9,"",G8/(1+'NH3 conversion'!$D$33)^C8)))</f>
        <v>1.332786462118779</v>
      </c>
      <c r="J8" s="766">
        <f>IF(B8=HOME!$A$9,H8/(1+'NH3 conversion'!$D$33)^C8,IF(B8&lt;HOME!$A$9,"",IF(B8&gt;'NH3 conversion'!$D$32+HOME!$A$9,"",H8/(1+'NH3 conversion'!$D$33)^C8)))</f>
        <v>2.5484574768782018</v>
      </c>
      <c r="K8" s="804">
        <f>IF(B8=HOME!$A$9,0,IF(B8&lt;HOME!$A$9,"",IF(B8&gt;'NH3 conversion'!$D$32+HOME!$A$9,"", 'NH3 conversion'!$D$44)))</f>
        <v>5488.1609827752964</v>
      </c>
      <c r="L8" s="805">
        <f>IF(B8=HOME!$A$9,K8/(1+'NH3 conversion'!$D$33)^C8,IF(B8&lt;HOME!$A$9,"",IF(B8&gt;'NH3 conversion'!$D$32+HOME!$A$9,"",K8/(1+'NH3 conversion'!$D$33)^C8)))</f>
        <v>4329.3657345578677</v>
      </c>
      <c r="N8" s="88"/>
    </row>
    <row r="9" spans="1:14">
      <c r="B9" s="764">
        <v>2027</v>
      </c>
      <c r="C9" s="765">
        <f>IF(B9=HOME!$A$9,B9-HOME!$A$9,IF(B9&lt;HOME!$A$9,"",IF(B9&gt;HOME!$A$9+'NH3 conversion'!$D$32,"",B9-HOME!$A$9)))</f>
        <v>5</v>
      </c>
      <c r="D9" s="766" cm="1">
        <f t="array" ref="D9">IF(B9=HOME!$A$9,0,IF(B9&lt;HOME!$A$9,"",IF(B9&gt;'NH3 conversion'!$D$32+HOME!$A$9,"",IF(HOME!$B$64="Electrolysis",IF(HOME!$B$65="Grid",INDEX(Tb_Fuel[],MATCH(B9,Tb_Fuel[Year],0),HLOOKUP('NH3 conversion'!$E$14&amp;" - Grid",'Fuel Data'!$BB$2:$BX$3,2,FALSE)+1),INDEX(Tb_LCOE[],MATCH(HOME!$A$9,Tb_LCOE[Year],0),HLOOKUP("LCOE"&amp;HOME!$B$65,LCOE!$B$3:$G$4,2,FALSE)+1)/1000),INDEX(Tb_Fuel[],MATCH(B9,Tb_Fuel[Year],0),HLOOKUP(Compression!$E$14&amp;" - Gas",'Fuel Data'!$BB$2:$BX$3,2,FALSE)+1)/0.3))))</f>
        <v>4.657300035949978E-2</v>
      </c>
      <c r="E9" s="766">
        <f>IF(B9=HOME!$A$9,'NH3 conversion'!$D$38,IF(B9&lt;HOME!$A$9,"",IF(B9&gt;'NH3 conversion'!$D$32+HOME!$A$9,"",0)))</f>
        <v>0</v>
      </c>
      <c r="F9" s="766">
        <f>IF(B9=HOME!$A$9,0,IF(B9&lt;HOME!$A$9,"",IF(B9&gt;'NH3 conversion'!$D$32+HOME!$A$9,"",'NH3 conversion'!$D$38*'NH3 conversion'!$D$31)))</f>
        <v>1.5410567367496539</v>
      </c>
      <c r="G9" s="766">
        <f>IF(B9=HOME!$A$9,0,IF(B9&lt;HOME!$A$9,"",IF(B9&gt;'NH3 conversion'!$D$32+HOME!$A$9,"",D9/10^6*'NH3 conversion'!$D$42*1000)))</f>
        <v>1.689519229430128</v>
      </c>
      <c r="H9" s="766">
        <f>IF(B9=HOME!$A$9,SUM(E9:G9),IF(B9&lt;HOME!$A$9,"",IF(B9&gt;'NH3 conversion'!$D$32+HOME!$A$9,"",SUM(E9:G9))))</f>
        <v>3.2305759661797819</v>
      </c>
      <c r="I9" s="766">
        <f>IF(B9=HOME!$A$9,G9/(1+'NH3 conversion'!$D$33)^C9,IF(B9&lt;HOME!$A$9,"",IF(B9&gt;'NH3 conversion'!$D$32+HOME!$A$9,"",G9/(1+'NH3 conversion'!$D$33)^C9)))</f>
        <v>1.2560586859315241</v>
      </c>
      <c r="J9" s="766">
        <f>IF(B9=HOME!$A$9,H9/(1+'NH3 conversion'!$D$33)^C9,IF(B9&lt;HOME!$A$9,"",IF(B9&gt;'NH3 conversion'!$D$32+HOME!$A$9,"",H9/(1+'NH3 conversion'!$D$33)^C9)))</f>
        <v>2.4017441957440329</v>
      </c>
      <c r="K9" s="804">
        <f>IF(B9=HOME!$A$9,0,IF(B9&lt;HOME!$A$9,"",IF(B9&gt;'NH3 conversion'!$D$32+HOME!$A$9,"", 'NH3 conversion'!$D$44)))</f>
        <v>5488.1609827752964</v>
      </c>
      <c r="L9" s="805">
        <f>IF(B9=HOME!$A$9,K9/(1+'NH3 conversion'!$D$33)^C9,IF(B9&lt;HOME!$A$9,"",IF(B9&gt;'NH3 conversion'!$D$32+HOME!$A$9,"",K9/(1+'NH3 conversion'!$D$33)^C9)))</f>
        <v>4080.1265544225566</v>
      </c>
      <c r="N9" s="88"/>
    </row>
    <row r="10" spans="1:14">
      <c r="B10" s="764">
        <v>2028</v>
      </c>
      <c r="C10" s="765">
        <f>IF(B10=HOME!$A$9,B10-HOME!$A$9,IF(B10&lt;HOME!$A$9,"",IF(B10&gt;HOME!$A$9+'NH3 conversion'!$D$32,"",B10-HOME!$A$9)))</f>
        <v>6</v>
      </c>
      <c r="D10" s="766" cm="1">
        <f t="array" ref="D10">IF(B10=HOME!$A$9,0,IF(B10&lt;HOME!$A$9,"",IF(B10&gt;'NH3 conversion'!$D$32+HOME!$A$9,"",IF(HOME!$B$64="Electrolysis",IF(HOME!$B$65="Grid",INDEX(Tb_Fuel[],MATCH(B10,Tb_Fuel[Year],0),HLOOKUP('NH3 conversion'!$E$14&amp;" - Grid",'Fuel Data'!$BB$2:$BX$3,2,FALSE)+1),INDEX(Tb_LCOE[],MATCH(HOME!$A$9,Tb_LCOE[Year],0),HLOOKUP("LCOE"&amp;HOME!$B$65,LCOE!$B$3:$G$4,2,FALSE)+1)/1000),INDEX(Tb_Fuel[],MATCH(B10,Tb_Fuel[Year],0),HLOOKUP(Compression!$E$14&amp;" - Gas",'Fuel Data'!$BB$2:$BX$3,2,FALSE)+1)/0.3))))</f>
        <v>4.657300035949978E-2</v>
      </c>
      <c r="E10" s="766">
        <f>IF(B10=HOME!$A$9,'NH3 conversion'!$D$38,IF(B10&lt;HOME!$A$9,"",IF(B10&gt;'NH3 conversion'!$D$32+HOME!$A$9,"",0)))</f>
        <v>0</v>
      </c>
      <c r="F10" s="766">
        <f>IF(B10=HOME!$A$9,0,IF(B10&lt;HOME!$A$9,"",IF(B10&gt;'NH3 conversion'!$D$32+HOME!$A$9,"",'NH3 conversion'!$D$38*'NH3 conversion'!$D$31)))</f>
        <v>1.5410567367496539</v>
      </c>
      <c r="G10" s="766">
        <f>IF(B10=HOME!$A$9,0,IF(B10&lt;HOME!$A$9,"",IF(B10&gt;'NH3 conversion'!$D$32+HOME!$A$9,"",D10/10^6*'NH3 conversion'!$D$42*1000)))</f>
        <v>1.689519229430128</v>
      </c>
      <c r="H10" s="766">
        <f>IF(B10=HOME!$A$9,SUM(E10:G10),IF(B10&lt;HOME!$A$9,"",IF(B10&gt;'NH3 conversion'!$D$32+HOME!$A$9,"",SUM(E10:G10))))</f>
        <v>3.2305759661797819</v>
      </c>
      <c r="I10" s="766">
        <f>IF(B10=HOME!$A$9,G10/(1+'NH3 conversion'!$D$33)^C10,IF(B10&lt;HOME!$A$9,"",IF(B10&gt;'NH3 conversion'!$D$32+HOME!$A$9,"",G10/(1+'NH3 conversion'!$D$33)^C10)))</f>
        <v>1.1837480851928273</v>
      </c>
      <c r="J10" s="766">
        <f>IF(B10=HOME!$A$9,H10/(1+'NH3 conversion'!$D$33)^C10,IF(B10&lt;HOME!$A$9,"",IF(B10&gt;'NH3 conversion'!$D$32+HOME!$A$9,"",H10/(1+'NH3 conversion'!$D$33)^C10)))</f>
        <v>2.2634771166973797</v>
      </c>
      <c r="K10" s="804">
        <f>IF(B10=HOME!$A$9,0,IF(B10&lt;HOME!$A$9,"",IF(B10&gt;'NH3 conversion'!$D$32+HOME!$A$9,"", 'NH3 conversion'!$D$44)))</f>
        <v>5488.1609827752964</v>
      </c>
      <c r="L10" s="805">
        <f>IF(B10=HOME!$A$9,K10/(1+'NH3 conversion'!$D$33)^C10,IF(B10&lt;HOME!$A$9,"",IF(B10&gt;'NH3 conversion'!$D$32+HOME!$A$9,"",K10/(1+'NH3 conversion'!$D$33)^C10)))</f>
        <v>3845.2359354214241</v>
      </c>
      <c r="N10" s="88"/>
    </row>
    <row r="11" spans="1:14">
      <c r="B11" s="764">
        <v>2029</v>
      </c>
      <c r="C11" s="765">
        <f>IF(B11=HOME!$A$9,B11-HOME!$A$9,IF(B11&lt;HOME!$A$9,"",IF(B11&gt;HOME!$A$9+'NH3 conversion'!$D$32,"",B11-HOME!$A$9)))</f>
        <v>7</v>
      </c>
      <c r="D11" s="766" cm="1">
        <f t="array" ref="D11">IF(B11=HOME!$A$9,0,IF(B11&lt;HOME!$A$9,"",IF(B11&gt;'NH3 conversion'!$D$32+HOME!$A$9,"",IF(HOME!$B$64="Electrolysis",IF(HOME!$B$65="Grid",INDEX(Tb_Fuel[],MATCH(B11,Tb_Fuel[Year],0),HLOOKUP('NH3 conversion'!$E$14&amp;" - Grid",'Fuel Data'!$BB$2:$BX$3,2,FALSE)+1),INDEX(Tb_LCOE[],MATCH(HOME!$A$9,Tb_LCOE[Year],0),HLOOKUP("LCOE"&amp;HOME!$B$65,LCOE!$B$3:$G$4,2,FALSE)+1)/1000),INDEX(Tb_Fuel[],MATCH(B11,Tb_Fuel[Year],0),HLOOKUP(Compression!$E$14&amp;" - Gas",'Fuel Data'!$BB$2:$BX$3,2,FALSE)+1)/0.3))))</f>
        <v>4.657300035949978E-2</v>
      </c>
      <c r="E11" s="766">
        <f>IF(B11=HOME!$A$9,'NH3 conversion'!$D$38,IF(B11&lt;HOME!$A$9,"",IF(B11&gt;'NH3 conversion'!$D$32+HOME!$A$9,"",0)))</f>
        <v>0</v>
      </c>
      <c r="F11" s="766">
        <f>IF(B11=HOME!$A$9,0,IF(B11&lt;HOME!$A$9,"",IF(B11&gt;'NH3 conversion'!$D$32+HOME!$A$9,"",'NH3 conversion'!$D$38*'NH3 conversion'!$D$31)))</f>
        <v>1.5410567367496539</v>
      </c>
      <c r="G11" s="766">
        <f>IF(B11=HOME!$A$9,0,IF(B11&lt;HOME!$A$9,"",IF(B11&gt;'NH3 conversion'!$D$32+HOME!$A$9,"",D11/10^6*'NH3 conversion'!$D$42*1000)))</f>
        <v>1.689519229430128</v>
      </c>
      <c r="H11" s="766">
        <f>IF(B11=HOME!$A$9,SUM(E11:G11),IF(B11&lt;HOME!$A$9,"",IF(B11&gt;'NH3 conversion'!$D$32+HOME!$A$9,"",SUM(E11:G11))))</f>
        <v>3.2305759661797819</v>
      </c>
      <c r="I11" s="766">
        <f>IF(B11=HOME!$A$9,G11/(1+'NH3 conversion'!$D$33)^C11,IF(B11&lt;HOME!$A$9,"",IF(B11&gt;'NH3 conversion'!$D$32+HOME!$A$9,"",G11/(1+'NH3 conversion'!$D$33)^C11)))</f>
        <v>1.1156003655661013</v>
      </c>
      <c r="J11" s="766">
        <f>IF(B11=HOME!$A$9,H11/(1+'NH3 conversion'!$D$33)^C11,IF(B11&lt;HOME!$A$9,"",IF(B11&gt;'NH3 conversion'!$D$32+HOME!$A$9,"",H11/(1+'NH3 conversion'!$D$33)^C11)))</f>
        <v>2.1331699965763984</v>
      </c>
      <c r="K11" s="804">
        <f>IF(B11=HOME!$A$9,0,IF(B11&lt;HOME!$A$9,"",IF(B11&gt;'NH3 conversion'!$D$32+HOME!$A$9,"", 'NH3 conversion'!$D$44)))</f>
        <v>5488.1609827752964</v>
      </c>
      <c r="L11" s="805">
        <f>IF(B11=HOME!$A$9,K11/(1+'NH3 conversion'!$D$33)^C11,IF(B11&lt;HOME!$A$9,"",IF(B11&gt;'NH3 conversion'!$D$32+HOME!$A$9,"",K11/(1+'NH3 conversion'!$D$33)^C11)))</f>
        <v>3623.8678388613989</v>
      </c>
      <c r="N11" s="88"/>
    </row>
    <row r="12" spans="1:14">
      <c r="B12" s="764">
        <v>2030</v>
      </c>
      <c r="C12" s="765">
        <f>IF(B12=HOME!$A$9,B12-HOME!$A$9,IF(B12&lt;HOME!$A$9,"",IF(B12&gt;HOME!$A$9+'NH3 conversion'!$D$32,"",B12-HOME!$A$9)))</f>
        <v>8</v>
      </c>
      <c r="D12" s="766" cm="1">
        <f t="array" ref="D12">IF(B12=HOME!$A$9,0,IF(B12&lt;HOME!$A$9,"",IF(B12&gt;'NH3 conversion'!$D$32+HOME!$A$9,"",IF(HOME!$B$64="Electrolysis",IF(HOME!$B$65="Grid",INDEX(Tb_Fuel[],MATCH(B12,Tb_Fuel[Year],0),HLOOKUP('NH3 conversion'!$E$14&amp;" - Grid",'Fuel Data'!$BB$2:$BX$3,2,FALSE)+1),INDEX(Tb_LCOE[],MATCH(HOME!$A$9,Tb_LCOE[Year],0),HLOOKUP("LCOE"&amp;HOME!$B$65,LCOE!$B$3:$G$4,2,FALSE)+1)/1000),INDEX(Tb_Fuel[],MATCH(B12,Tb_Fuel[Year],0),HLOOKUP(Compression!$E$14&amp;" - Gas",'Fuel Data'!$BB$2:$BX$3,2,FALSE)+1)/0.3))))</f>
        <v>4.657300035949978E-2</v>
      </c>
      <c r="E12" s="766">
        <f>IF(B12=HOME!$A$9,'NH3 conversion'!$D$38,IF(B12&lt;HOME!$A$9,"",IF(B12&gt;'NH3 conversion'!$D$32+HOME!$A$9,"",0)))</f>
        <v>0</v>
      </c>
      <c r="F12" s="766">
        <f>IF(B12=HOME!$A$9,0,IF(B12&lt;HOME!$A$9,"",IF(B12&gt;'NH3 conversion'!$D$32+HOME!$A$9,"",'NH3 conversion'!$D$38*'NH3 conversion'!$D$31)))</f>
        <v>1.5410567367496539</v>
      </c>
      <c r="G12" s="766">
        <f>IF(B12=HOME!$A$9,0,IF(B12&lt;HOME!$A$9,"",IF(B12&gt;'NH3 conversion'!$D$32+HOME!$A$9,"",D12/10^6*'NH3 conversion'!$D$42*1000)))</f>
        <v>1.689519229430128</v>
      </c>
      <c r="H12" s="766">
        <f>IF(B12=HOME!$A$9,SUM(E12:G12),IF(B12&lt;HOME!$A$9,"",IF(B12&gt;'NH3 conversion'!$D$32+HOME!$A$9,"",SUM(E12:G12))))</f>
        <v>3.2305759661797819</v>
      </c>
      <c r="I12" s="766">
        <f>IF(B12=HOME!$A$9,G12/(1+'NH3 conversion'!$D$33)^C12,IF(B12&lt;HOME!$A$9,"",IF(B12&gt;'NH3 conversion'!$D$32+HOME!$A$9,"",G12/(1+'NH3 conversion'!$D$33)^C12)))</f>
        <v>1.0513758722984414</v>
      </c>
      <c r="J12" s="766">
        <f>IF(B12=HOME!$A$9,H12/(1+'NH3 conversion'!$D$33)^C12,IF(B12&lt;HOME!$A$9,"",IF(B12&gt;'NH3 conversion'!$D$32+HOME!$A$9,"",H12/(1+'NH3 conversion'!$D$33)^C12)))</f>
        <v>2.0103645849679372</v>
      </c>
      <c r="K12" s="804">
        <f>IF(B12=HOME!$A$9,0,IF(B12&lt;HOME!$A$9,"",IF(B12&gt;'NH3 conversion'!$D$32+HOME!$A$9,"", 'NH3 conversion'!$D$44)))</f>
        <v>5488.1609827752964</v>
      </c>
      <c r="L12" s="805">
        <f>IF(B12=HOME!$A$9,K12/(1+'NH3 conversion'!$D$33)^C12,IF(B12&lt;HOME!$A$9,"",IF(B12&gt;'NH3 conversion'!$D$32+HOME!$A$9,"",K12/(1+'NH3 conversion'!$D$33)^C12)))</f>
        <v>3415.2437806380581</v>
      </c>
      <c r="N12" s="88"/>
    </row>
    <row r="13" spans="1:14">
      <c r="B13" s="764">
        <v>2031</v>
      </c>
      <c r="C13" s="765">
        <f>IF(B13=HOME!$A$9,B13-HOME!$A$9,IF(B13&lt;HOME!$A$9,"",IF(B13&gt;HOME!$A$9+'NH3 conversion'!$D$32,"",B13-HOME!$A$9)))</f>
        <v>9</v>
      </c>
      <c r="D13" s="766" cm="1">
        <f t="array" ref="D13">IF(B13=HOME!$A$9,0,IF(B13&lt;HOME!$A$9,"",IF(B13&gt;'NH3 conversion'!$D$32+HOME!$A$9,"",IF(HOME!$B$64="Electrolysis",IF(HOME!$B$65="Grid",INDEX(Tb_Fuel[],MATCH(B13,Tb_Fuel[Year],0),HLOOKUP('NH3 conversion'!$E$14&amp;" - Grid",'Fuel Data'!$BB$2:$BX$3,2,FALSE)+1),INDEX(Tb_LCOE[],MATCH(HOME!$A$9,Tb_LCOE[Year],0),HLOOKUP("LCOE"&amp;HOME!$B$65,LCOE!$B$3:$G$4,2,FALSE)+1)/1000),INDEX(Tb_Fuel[],MATCH(B13,Tb_Fuel[Year],0),HLOOKUP(Compression!$E$14&amp;" - Gas",'Fuel Data'!$BB$2:$BX$3,2,FALSE)+1)/0.3))))</f>
        <v>4.657300035949978E-2</v>
      </c>
      <c r="E13" s="766">
        <f>IF(B13=HOME!$A$9,'NH3 conversion'!$D$38,IF(B13&lt;HOME!$A$9,"",IF(B13&gt;'NH3 conversion'!$D$32+HOME!$A$9,"",0)))</f>
        <v>0</v>
      </c>
      <c r="F13" s="766">
        <f>IF(B13=HOME!$A$9,0,IF(B13&lt;HOME!$A$9,"",IF(B13&gt;'NH3 conversion'!$D$32+HOME!$A$9,"",'NH3 conversion'!$D$38*'NH3 conversion'!$D$31)))</f>
        <v>1.5410567367496539</v>
      </c>
      <c r="G13" s="766">
        <f>IF(B13=HOME!$A$9,0,IF(B13&lt;HOME!$A$9,"",IF(B13&gt;'NH3 conversion'!$D$32+HOME!$A$9,"",D13/10^6*'NH3 conversion'!$D$42*1000)))</f>
        <v>1.689519229430128</v>
      </c>
      <c r="H13" s="766">
        <f>IF(B13=HOME!$A$9,SUM(E13:G13),IF(B13&lt;HOME!$A$9,"",IF(B13&gt;'NH3 conversion'!$D$32+HOME!$A$9,"",SUM(E13:G13))))</f>
        <v>3.2305759661797819</v>
      </c>
      <c r="I13" s="766">
        <f>IF(B13=HOME!$A$9,G13/(1+'NH3 conversion'!$D$33)^C13,IF(B13&lt;HOME!$A$9,"",IF(B13&gt;'NH3 conversion'!$D$32+HOME!$A$9,"",G13/(1+'NH3 conversion'!$D$33)^C13)))</f>
        <v>0.99084874742792695</v>
      </c>
      <c r="J13" s="766">
        <f>IF(B13=HOME!$A$9,H13/(1+'NH3 conversion'!$D$33)^C13,IF(B13&lt;HOME!$A$9,"",IF(B13&gt;'NH3 conversion'!$D$32+HOME!$A$9,"",H13/(1+'NH3 conversion'!$D$33)^C13)))</f>
        <v>1.894629012680547</v>
      </c>
      <c r="K13" s="804">
        <f>IF(B13=HOME!$A$9,0,IF(B13&lt;HOME!$A$9,"",IF(B13&gt;'NH3 conversion'!$D$32+HOME!$A$9,"", 'NH3 conversion'!$D$44)))</f>
        <v>5488.1609827752964</v>
      </c>
      <c r="L13" s="805">
        <f>IF(B13=HOME!$A$9,K13/(1+'NH3 conversion'!$D$33)^C13,IF(B13&lt;HOME!$A$9,"",IF(B13&gt;'NH3 conversion'!$D$32+HOME!$A$9,"",K13/(1+'NH3 conversion'!$D$33)^C13)))</f>
        <v>3218.6300935443805</v>
      </c>
      <c r="N13" s="88"/>
    </row>
    <row r="14" spans="1:14">
      <c r="B14" s="764">
        <v>2032</v>
      </c>
      <c r="C14" s="765">
        <f>IF(B14=HOME!$A$9,B14-HOME!$A$9,IF(B14&lt;HOME!$A$9,"",IF(B14&gt;HOME!$A$9+'NH3 conversion'!$D$32,"",B14-HOME!$A$9)))</f>
        <v>10</v>
      </c>
      <c r="D14" s="766" cm="1">
        <f t="array" ref="D14">IF(B14=HOME!$A$9,0,IF(B14&lt;HOME!$A$9,"",IF(B14&gt;'NH3 conversion'!$D$32+HOME!$A$9,"",IF(HOME!$B$64="Electrolysis",IF(HOME!$B$65="Grid",INDEX(Tb_Fuel[],MATCH(B14,Tb_Fuel[Year],0),HLOOKUP('NH3 conversion'!$E$14&amp;" - Grid",'Fuel Data'!$BB$2:$BX$3,2,FALSE)+1),INDEX(Tb_LCOE[],MATCH(HOME!$A$9,Tb_LCOE[Year],0),HLOOKUP("LCOE"&amp;HOME!$B$65,LCOE!$B$3:$G$4,2,FALSE)+1)/1000),INDEX(Tb_Fuel[],MATCH(B14,Tb_Fuel[Year],0),HLOOKUP(Compression!$E$14&amp;" - Gas",'Fuel Data'!$BB$2:$BX$3,2,FALSE)+1)/0.3))))</f>
        <v>4.657300035949978E-2</v>
      </c>
      <c r="E14" s="766">
        <f>IF(B14=HOME!$A$9,'NH3 conversion'!$D$38,IF(B14&lt;HOME!$A$9,"",IF(B14&gt;'NH3 conversion'!$D$32+HOME!$A$9,"",0)))</f>
        <v>0</v>
      </c>
      <c r="F14" s="766">
        <f>IF(B14=HOME!$A$9,0,IF(B14&lt;HOME!$A$9,"",IF(B14&gt;'NH3 conversion'!$D$32+HOME!$A$9,"",'NH3 conversion'!$D$38*'NH3 conversion'!$D$31)))</f>
        <v>1.5410567367496539</v>
      </c>
      <c r="G14" s="766">
        <f>IF(B14=HOME!$A$9,0,IF(B14&lt;HOME!$A$9,"",IF(B14&gt;'NH3 conversion'!$D$32+HOME!$A$9,"",D14/10^6*'NH3 conversion'!$D$42*1000)))</f>
        <v>1.689519229430128</v>
      </c>
      <c r="H14" s="766">
        <f>IF(B14=HOME!$A$9,SUM(E14:G14),IF(B14&lt;HOME!$A$9,"",IF(B14&gt;'NH3 conversion'!$D$32+HOME!$A$9,"",SUM(E14:G14))))</f>
        <v>3.2305759661797819</v>
      </c>
      <c r="I14" s="766">
        <f>IF(B14=HOME!$A$9,G14/(1+'NH3 conversion'!$D$33)^C14,IF(B14&lt;HOME!$A$9,"",IF(B14&gt;'NH3 conversion'!$D$32+HOME!$A$9,"",G14/(1+'NH3 conversion'!$D$33)^C14)))</f>
        <v>0.93380613551002745</v>
      </c>
      <c r="J14" s="766">
        <f>IF(B14=HOME!$A$9,H14/(1+'NH3 conversion'!$D$33)^C14,IF(B14&lt;HOME!$A$9,"",IF(B14&gt;'NH3 conversion'!$D$32+HOME!$A$9,"",H14/(1+'NH3 conversion'!$D$33)^C14)))</f>
        <v>1.7855562729922014</v>
      </c>
      <c r="K14" s="804">
        <f>IF(B14=HOME!$A$9,0,IF(B14&lt;HOME!$A$9,"",IF(B14&gt;'NH3 conversion'!$D$32+HOME!$A$9,"", 'NH3 conversion'!$D$44)))</f>
        <v>5488.1609827752964</v>
      </c>
      <c r="L14" s="805">
        <f>IF(B14=HOME!$A$9,K14/(1+'NH3 conversion'!$D$33)^C14,IF(B14&lt;HOME!$A$9,"",IF(B14&gt;'NH3 conversion'!$D$32+HOME!$A$9,"",K14/(1+'NH3 conversion'!$D$33)^C14)))</f>
        <v>3033.33534718686</v>
      </c>
      <c r="N14" s="88"/>
    </row>
    <row r="15" spans="1:14">
      <c r="B15" s="764">
        <v>2033</v>
      </c>
      <c r="C15" s="765">
        <f>IF(B15=HOME!$A$9,B15-HOME!$A$9,IF(B15&lt;HOME!$A$9,"",IF(B15&gt;HOME!$A$9+'NH3 conversion'!$D$32,"",B15-HOME!$A$9)))</f>
        <v>11</v>
      </c>
      <c r="D15" s="766" cm="1">
        <f t="array" ref="D15">IF(B15=HOME!$A$9,0,IF(B15&lt;HOME!$A$9,"",IF(B15&gt;'NH3 conversion'!$D$32+HOME!$A$9,"",IF(HOME!$B$64="Electrolysis",IF(HOME!$B$65="Grid",INDEX(Tb_Fuel[],MATCH(B15,Tb_Fuel[Year],0),HLOOKUP('NH3 conversion'!$E$14&amp;" - Grid",'Fuel Data'!$BB$2:$BX$3,2,FALSE)+1),INDEX(Tb_LCOE[],MATCH(HOME!$A$9,Tb_LCOE[Year],0),HLOOKUP("LCOE"&amp;HOME!$B$65,LCOE!$B$3:$G$4,2,FALSE)+1)/1000),INDEX(Tb_Fuel[],MATCH(B15,Tb_Fuel[Year],0),HLOOKUP(Compression!$E$14&amp;" - Gas",'Fuel Data'!$BB$2:$BX$3,2,FALSE)+1)/0.3))))</f>
        <v>4.657300035949978E-2</v>
      </c>
      <c r="E15" s="766">
        <f>IF(B15=HOME!$A$9,'NH3 conversion'!$D$38,IF(B15&lt;HOME!$A$9,"",IF(B15&gt;'NH3 conversion'!$D$32+HOME!$A$9,"",0)))</f>
        <v>0</v>
      </c>
      <c r="F15" s="766">
        <f>IF(B15=HOME!$A$9,0,IF(B15&lt;HOME!$A$9,"",IF(B15&gt;'NH3 conversion'!$D$32+HOME!$A$9,"",'NH3 conversion'!$D$38*'NH3 conversion'!$D$31)))</f>
        <v>1.5410567367496539</v>
      </c>
      <c r="G15" s="766">
        <f>IF(B15=HOME!$A$9,0,IF(B15&lt;HOME!$A$9,"",IF(B15&gt;'NH3 conversion'!$D$32+HOME!$A$9,"",D15/10^6*'NH3 conversion'!$D$42*1000)))</f>
        <v>1.689519229430128</v>
      </c>
      <c r="H15" s="766">
        <f>IF(B15=HOME!$A$9,SUM(E15:G15),IF(B15&lt;HOME!$A$9,"",IF(B15&gt;'NH3 conversion'!$D$32+HOME!$A$9,"",SUM(E15:G15))))</f>
        <v>3.2305759661797819</v>
      </c>
      <c r="I15" s="766">
        <f>IF(B15=HOME!$A$9,G15/(1+'NH3 conversion'!$D$33)^C15,IF(B15&lt;HOME!$A$9,"",IF(B15&gt;'NH3 conversion'!$D$32+HOME!$A$9,"",G15/(1+'NH3 conversion'!$D$33)^C15)))</f>
        <v>0.88004743506990135</v>
      </c>
      <c r="J15" s="766">
        <f>IF(B15=HOME!$A$9,H15/(1+'NH3 conversion'!$D$33)^C15,IF(B15&lt;HOME!$A$9,"",IF(B15&gt;'NH3 conversion'!$D$32+HOME!$A$9,"",H15/(1+'NH3 conversion'!$D$33)^C15)))</f>
        <v>1.6827627903317472</v>
      </c>
      <c r="K15" s="804">
        <f>IF(B15=HOME!$A$9,0,IF(B15&lt;HOME!$A$9,"",IF(B15&gt;'NH3 conversion'!$D$32+HOME!$A$9,"", 'NH3 conversion'!$D$44)))</f>
        <v>5488.1609827752964</v>
      </c>
      <c r="L15" s="805">
        <f>IF(B15=HOME!$A$9,K15/(1+'NH3 conversion'!$D$33)^C15,IF(B15&lt;HOME!$A$9,"",IF(B15&gt;'NH3 conversion'!$D$32+HOME!$A$9,"",K15/(1+'NH3 conversion'!$D$33)^C15)))</f>
        <v>2858.707916435616</v>
      </c>
      <c r="N15" s="88"/>
    </row>
    <row r="16" spans="1:14">
      <c r="B16" s="764">
        <v>2034</v>
      </c>
      <c r="C16" s="765">
        <f>IF(B16=HOME!$A$9,B16-HOME!$A$9,IF(B16&lt;HOME!$A$9,"",IF(B16&gt;HOME!$A$9+'NH3 conversion'!$D$32,"",B16-HOME!$A$9)))</f>
        <v>12</v>
      </c>
      <c r="D16" s="766" cm="1">
        <f t="array" ref="D16">IF(B16=HOME!$A$9,0,IF(B16&lt;HOME!$A$9,"",IF(B16&gt;'NH3 conversion'!$D$32+HOME!$A$9,"",IF(HOME!$B$64="Electrolysis",IF(HOME!$B$65="Grid",INDEX(Tb_Fuel[],MATCH(B16,Tb_Fuel[Year],0),HLOOKUP('NH3 conversion'!$E$14&amp;" - Grid",'Fuel Data'!$BB$2:$BX$3,2,FALSE)+1),INDEX(Tb_LCOE[],MATCH(HOME!$A$9,Tb_LCOE[Year],0),HLOOKUP("LCOE"&amp;HOME!$B$65,LCOE!$B$3:$G$4,2,FALSE)+1)/1000),INDEX(Tb_Fuel[],MATCH(B16,Tb_Fuel[Year],0),HLOOKUP(Compression!$E$14&amp;" - Gas",'Fuel Data'!$BB$2:$BX$3,2,FALSE)+1)/0.3))))</f>
        <v>4.657300035949978E-2</v>
      </c>
      <c r="E16" s="766">
        <f>IF(B16=HOME!$A$9,'NH3 conversion'!$D$38,IF(B16&lt;HOME!$A$9,"",IF(B16&gt;'NH3 conversion'!$D$32+HOME!$A$9,"",0)))</f>
        <v>0</v>
      </c>
      <c r="F16" s="766">
        <f>IF(B16=HOME!$A$9,0,IF(B16&lt;HOME!$A$9,"",IF(B16&gt;'NH3 conversion'!$D$32+HOME!$A$9,"",'NH3 conversion'!$D$38*'NH3 conversion'!$D$31)))</f>
        <v>1.5410567367496539</v>
      </c>
      <c r="G16" s="766">
        <f>IF(B16=HOME!$A$9,0,IF(B16&lt;HOME!$A$9,"",IF(B16&gt;'NH3 conversion'!$D$32+HOME!$A$9,"",D16/10^6*'NH3 conversion'!$D$42*1000)))</f>
        <v>1.689519229430128</v>
      </c>
      <c r="H16" s="766">
        <f>IF(B16=HOME!$A$9,SUM(E16:G16),IF(B16&lt;HOME!$A$9,"",IF(B16&gt;'NH3 conversion'!$D$32+HOME!$A$9,"",SUM(E16:G16))))</f>
        <v>3.2305759661797819</v>
      </c>
      <c r="I16" s="766">
        <f>IF(B16=HOME!$A$9,G16/(1+'NH3 conversion'!$D$33)^C16,IF(B16&lt;HOME!$A$9,"",IF(B16&gt;'NH3 conversion'!$D$32+HOME!$A$9,"",G16/(1+'NH3 conversion'!$D$33)^C16)))</f>
        <v>0.8293835931481689</v>
      </c>
      <c r="J16" s="766">
        <f>IF(B16=HOME!$A$9,H16/(1+'NH3 conversion'!$D$33)^C16,IF(B16&lt;HOME!$A$9,"",IF(B16&gt;'NH3 conversion'!$D$32+HOME!$A$9,"",H16/(1+'NH3 conversion'!$D$33)^C16)))</f>
        <v>1.5858870713605655</v>
      </c>
      <c r="K16" s="804">
        <f>IF(B16=HOME!$A$9,0,IF(B16&lt;HOME!$A$9,"",IF(B16&gt;'NH3 conversion'!$D$32+HOME!$A$9,"", 'NH3 conversion'!$D$44)))</f>
        <v>5488.1609827752964</v>
      </c>
      <c r="L16" s="805">
        <f>IF(B16=HOME!$A$9,K16/(1+'NH3 conversion'!$D$33)^C16,IF(B16&lt;HOME!$A$9,"",IF(B16&gt;'NH3 conversion'!$D$32+HOME!$A$9,"",K16/(1+'NH3 conversion'!$D$33)^C16)))</f>
        <v>2694.1336898574823</v>
      </c>
      <c r="N16" s="88"/>
    </row>
    <row r="17" spans="2:14">
      <c r="B17" s="764">
        <v>2035</v>
      </c>
      <c r="C17" s="765">
        <f>IF(B17=HOME!$A$9,B17-HOME!$A$9,IF(B17&lt;HOME!$A$9,"",IF(B17&gt;HOME!$A$9+'NH3 conversion'!$D$32,"",B17-HOME!$A$9)))</f>
        <v>13</v>
      </c>
      <c r="D17" s="766" cm="1">
        <f t="array" ref="D17">IF(B17=HOME!$A$9,0,IF(B17&lt;HOME!$A$9,"",IF(B17&gt;'NH3 conversion'!$D$32+HOME!$A$9,"",IF(HOME!$B$64="Electrolysis",IF(HOME!$B$65="Grid",INDEX(Tb_Fuel[],MATCH(B17,Tb_Fuel[Year],0),HLOOKUP('NH3 conversion'!$E$14&amp;" - Grid",'Fuel Data'!$BB$2:$BX$3,2,FALSE)+1),INDEX(Tb_LCOE[],MATCH(HOME!$A$9,Tb_LCOE[Year],0),HLOOKUP("LCOE"&amp;HOME!$B$65,LCOE!$B$3:$G$4,2,FALSE)+1)/1000),INDEX(Tb_Fuel[],MATCH(B17,Tb_Fuel[Year],0),HLOOKUP(Compression!$E$14&amp;" - Gas",'Fuel Data'!$BB$2:$BX$3,2,FALSE)+1)/0.3))))</f>
        <v>4.657300035949978E-2</v>
      </c>
      <c r="E17" s="766">
        <f>IF(B17=HOME!$A$9,'NH3 conversion'!$D$38,IF(B17&lt;HOME!$A$9,"",IF(B17&gt;'NH3 conversion'!$D$32+HOME!$A$9,"",0)))</f>
        <v>0</v>
      </c>
      <c r="F17" s="766">
        <f>IF(B17=HOME!$A$9,0,IF(B17&lt;HOME!$A$9,"",IF(B17&gt;'NH3 conversion'!$D$32+HOME!$A$9,"",'NH3 conversion'!$D$38*'NH3 conversion'!$D$31)))</f>
        <v>1.5410567367496539</v>
      </c>
      <c r="G17" s="766">
        <f>IF(B17=HOME!$A$9,0,IF(B17&lt;HOME!$A$9,"",IF(B17&gt;'NH3 conversion'!$D$32+HOME!$A$9,"",D17/10^6*'NH3 conversion'!$D$42*1000)))</f>
        <v>1.689519229430128</v>
      </c>
      <c r="H17" s="766">
        <f>IF(B17=HOME!$A$9,SUM(E17:G17),IF(B17&lt;HOME!$A$9,"",IF(B17&gt;'NH3 conversion'!$D$32+HOME!$A$9,"",SUM(E17:G17))))</f>
        <v>3.2305759661797819</v>
      </c>
      <c r="I17" s="766">
        <f>IF(B17=HOME!$A$9,G17/(1+'NH3 conversion'!$D$33)^C17,IF(B17&lt;HOME!$A$9,"",IF(B17&gt;'NH3 conversion'!$D$32+HOME!$A$9,"",G17/(1+'NH3 conversion'!$D$33)^C17)))</f>
        <v>0.78163644045929159</v>
      </c>
      <c r="J17" s="766">
        <f>IF(B17=HOME!$A$9,H17/(1+'NH3 conversion'!$D$33)^C17,IF(B17&lt;HOME!$A$9,"",IF(B17&gt;'NH3 conversion'!$D$32+HOME!$A$9,"",H17/(1+'NH3 conversion'!$D$33)^C17)))</f>
        <v>1.4945884337107105</v>
      </c>
      <c r="K17" s="804">
        <f>IF(B17=HOME!$A$9,0,IF(B17&lt;HOME!$A$9,"",IF(B17&gt;'NH3 conversion'!$D$32+HOME!$A$9,"", 'NH3 conversion'!$D$44)))</f>
        <v>5488.1609827752964</v>
      </c>
      <c r="L17" s="805">
        <f>IF(B17=HOME!$A$9,K17/(1+'NH3 conversion'!$D$33)^C17,IF(B17&lt;HOME!$A$9,"",IF(B17&gt;'NH3 conversion'!$D$32+HOME!$A$9,"",K17/(1+'NH3 conversion'!$D$33)^C17)))</f>
        <v>2539.0339100733254</v>
      </c>
      <c r="N17" s="88"/>
    </row>
    <row r="18" spans="2:14">
      <c r="B18" s="764">
        <v>2036</v>
      </c>
      <c r="C18" s="765">
        <f>IF(B18=HOME!$A$9,B18-HOME!$A$9,IF(B18&lt;HOME!$A$9,"",IF(B18&gt;HOME!$A$9+'NH3 conversion'!$D$32,"",B18-HOME!$A$9)))</f>
        <v>14</v>
      </c>
      <c r="D18" s="766" cm="1">
        <f t="array" ref="D18">IF(B18=HOME!$A$9,0,IF(B18&lt;HOME!$A$9,"",IF(B18&gt;'NH3 conversion'!$D$32+HOME!$A$9,"",IF(HOME!$B$64="Electrolysis",IF(HOME!$B$65="Grid",INDEX(Tb_Fuel[],MATCH(B18,Tb_Fuel[Year],0),HLOOKUP('NH3 conversion'!$E$14&amp;" - Grid",'Fuel Data'!$BB$2:$BX$3,2,FALSE)+1),INDEX(Tb_LCOE[],MATCH(HOME!$A$9,Tb_LCOE[Year],0),HLOOKUP("LCOE"&amp;HOME!$B$65,LCOE!$B$3:$G$4,2,FALSE)+1)/1000),INDEX(Tb_Fuel[],MATCH(B18,Tb_Fuel[Year],0),HLOOKUP(Compression!$E$14&amp;" - Gas",'Fuel Data'!$BB$2:$BX$3,2,FALSE)+1)/0.3))))</f>
        <v>4.657300035949978E-2</v>
      </c>
      <c r="E18" s="766">
        <f>IF(B18=HOME!$A$9,'NH3 conversion'!$D$38,IF(B18&lt;HOME!$A$9,"",IF(B18&gt;'NH3 conversion'!$D$32+HOME!$A$9,"",0)))</f>
        <v>0</v>
      </c>
      <c r="F18" s="766">
        <f>IF(B18=HOME!$A$9,0,IF(B18&lt;HOME!$A$9,"",IF(B18&gt;'NH3 conversion'!$D$32+HOME!$A$9,"",'NH3 conversion'!$D$38*'NH3 conversion'!$D$31)))</f>
        <v>1.5410567367496539</v>
      </c>
      <c r="G18" s="766">
        <f>IF(B18=HOME!$A$9,0,IF(B18&lt;HOME!$A$9,"",IF(B18&gt;'NH3 conversion'!$D$32+HOME!$A$9,"",D18/10^6*'NH3 conversion'!$D$42*1000)))</f>
        <v>1.689519229430128</v>
      </c>
      <c r="H18" s="766">
        <f>IF(B18=HOME!$A$9,SUM(E18:G18),IF(B18&lt;HOME!$A$9,"",IF(B18&gt;'NH3 conversion'!$D$32+HOME!$A$9,"",SUM(E18:G18))))</f>
        <v>3.2305759661797819</v>
      </c>
      <c r="I18" s="766">
        <f>IF(B18=HOME!$A$9,G18/(1+'NH3 conversion'!$D$33)^C18,IF(B18&lt;HOME!$A$9,"",IF(B18&gt;'NH3 conversion'!$D$32+HOME!$A$9,"",G18/(1+'NH3 conversion'!$D$33)^C18)))</f>
        <v>0.73663806482451688</v>
      </c>
      <c r="J18" s="766">
        <f>IF(B18=HOME!$A$9,H18/(1+'NH3 conversion'!$D$33)^C18,IF(B18&lt;HOME!$A$9,"",IF(B18&gt;'NH3 conversion'!$D$32+HOME!$A$9,"",H18/(1+'NH3 conversion'!$D$33)^C18)))</f>
        <v>1.4085458079088919</v>
      </c>
      <c r="K18" s="804">
        <f>IF(B18=HOME!$A$9,0,IF(B18&lt;HOME!$A$9,"",IF(B18&gt;'NH3 conversion'!$D$32+HOME!$A$9,"", 'NH3 conversion'!$D$44)))</f>
        <v>5488.1609827752964</v>
      </c>
      <c r="L18" s="805">
        <f>IF(B18=HOME!$A$9,K18/(1+'NH3 conversion'!$D$33)^C18,IF(B18&lt;HOME!$A$9,"",IF(B18&gt;'NH3 conversion'!$D$32+HOME!$A$9,"",K18/(1+'NH3 conversion'!$D$33)^C18)))</f>
        <v>2392.8631384447981</v>
      </c>
      <c r="N18" s="88"/>
    </row>
    <row r="19" spans="2:14">
      <c r="B19" s="764">
        <v>2037</v>
      </c>
      <c r="C19" s="765">
        <f>IF(B19=HOME!$A$9,B19-HOME!$A$9,IF(B19&lt;HOME!$A$9,"",IF(B19&gt;HOME!$A$9+'NH3 conversion'!$D$32,"",B19-HOME!$A$9)))</f>
        <v>15</v>
      </c>
      <c r="D19" s="766" cm="1">
        <f t="array" ref="D19">IF(B19=HOME!$A$9,0,IF(B19&lt;HOME!$A$9,"",IF(B19&gt;'NH3 conversion'!$D$32+HOME!$A$9,"",IF(HOME!$B$64="Electrolysis",IF(HOME!$B$65="Grid",INDEX(Tb_Fuel[],MATCH(B19,Tb_Fuel[Year],0),HLOOKUP('NH3 conversion'!$E$14&amp;" - Grid",'Fuel Data'!$BB$2:$BX$3,2,FALSE)+1),INDEX(Tb_LCOE[],MATCH(HOME!$A$9,Tb_LCOE[Year],0),HLOOKUP("LCOE"&amp;HOME!$B$65,LCOE!$B$3:$G$4,2,FALSE)+1)/1000),INDEX(Tb_Fuel[],MATCH(B19,Tb_Fuel[Year],0),HLOOKUP(Compression!$E$14&amp;" - Gas",'Fuel Data'!$BB$2:$BX$3,2,FALSE)+1)/0.3))))</f>
        <v>4.657300035949978E-2</v>
      </c>
      <c r="E19" s="766">
        <f>IF(B19=HOME!$A$9,'NH3 conversion'!$D$38,IF(B19&lt;HOME!$A$9,"",IF(B19&gt;'NH3 conversion'!$D$32+HOME!$A$9,"",0)))</f>
        <v>0</v>
      </c>
      <c r="F19" s="766">
        <f>IF(B19=HOME!$A$9,0,IF(B19&lt;HOME!$A$9,"",IF(B19&gt;'NH3 conversion'!$D$32+HOME!$A$9,"",'NH3 conversion'!$D$38*'NH3 conversion'!$D$31)))</f>
        <v>1.5410567367496539</v>
      </c>
      <c r="G19" s="766">
        <f>IF(B19=HOME!$A$9,0,IF(B19&lt;HOME!$A$9,"",IF(B19&gt;'NH3 conversion'!$D$32+HOME!$A$9,"",D19/10^6*'NH3 conversion'!$D$42*1000)))</f>
        <v>1.689519229430128</v>
      </c>
      <c r="H19" s="766">
        <f>IF(B19=HOME!$A$9,SUM(E19:G19),IF(B19&lt;HOME!$A$9,"",IF(B19&gt;'NH3 conversion'!$D$32+HOME!$A$9,"",SUM(E19:G19))))</f>
        <v>3.2305759661797819</v>
      </c>
      <c r="I19" s="766">
        <f>IF(B19=HOME!$A$9,G19/(1+'NH3 conversion'!$D$33)^C19,IF(B19&lt;HOME!$A$9,"",IF(B19&gt;'NH3 conversion'!$D$32+HOME!$A$9,"",G19/(1+'NH3 conversion'!$D$33)^C19)))</f>
        <v>0.69423022067593887</v>
      </c>
      <c r="J19" s="766">
        <f>IF(B19=HOME!$A$9,H19/(1+'NH3 conversion'!$D$33)^C19,IF(B19&lt;HOME!$A$9,"",IF(B19&gt;'NH3 conversion'!$D$32+HOME!$A$9,"",H19/(1+'NH3 conversion'!$D$33)^C19)))</f>
        <v>1.3274566082730261</v>
      </c>
      <c r="K19" s="804">
        <f>IF(B19=HOME!$A$9,0,IF(B19&lt;HOME!$A$9,"",IF(B19&gt;'NH3 conversion'!$D$32+HOME!$A$9,"", 'NH3 conversion'!$D$44)))</f>
        <v>5488.1609827752964</v>
      </c>
      <c r="L19" s="805">
        <f>IF(B19=HOME!$A$9,K19/(1+'NH3 conversion'!$D$33)^C19,IF(B19&lt;HOME!$A$9,"",IF(B19&gt;'NH3 conversion'!$D$32+HOME!$A$9,"",K19/(1+'NH3 conversion'!$D$33)^C19)))</f>
        <v>2255.1073369329415</v>
      </c>
      <c r="N19" s="88"/>
    </row>
    <row r="20" spans="2:14">
      <c r="B20" s="764">
        <v>2038</v>
      </c>
      <c r="C20" s="765">
        <f>IF(B20=HOME!$A$9,B20-HOME!$A$9,IF(B20&lt;HOME!$A$9,"",IF(B20&gt;HOME!$A$9+'NH3 conversion'!$D$32,"",B20-HOME!$A$9)))</f>
        <v>16</v>
      </c>
      <c r="D20" s="766" cm="1">
        <f t="array" ref="D20">IF(B20=HOME!$A$9,0,IF(B20&lt;HOME!$A$9,"",IF(B20&gt;'NH3 conversion'!$D$32+HOME!$A$9,"",IF(HOME!$B$64="Electrolysis",IF(HOME!$B$65="Grid",INDEX(Tb_Fuel[],MATCH(B20,Tb_Fuel[Year],0),HLOOKUP('NH3 conversion'!$E$14&amp;" - Grid",'Fuel Data'!$BB$2:$BX$3,2,FALSE)+1),INDEX(Tb_LCOE[],MATCH(HOME!$A$9,Tb_LCOE[Year],0),HLOOKUP("LCOE"&amp;HOME!$B$65,LCOE!$B$3:$G$4,2,FALSE)+1)/1000),INDEX(Tb_Fuel[],MATCH(B20,Tb_Fuel[Year],0),HLOOKUP(Compression!$E$14&amp;" - Gas",'Fuel Data'!$BB$2:$BX$3,2,FALSE)+1)/0.3))))</f>
        <v>4.657300035949978E-2</v>
      </c>
      <c r="E20" s="766">
        <f>IF(B20=HOME!$A$9,'NH3 conversion'!$D$38,IF(B20&lt;HOME!$A$9,"",IF(B20&gt;'NH3 conversion'!$D$32+HOME!$A$9,"",0)))</f>
        <v>0</v>
      </c>
      <c r="F20" s="766">
        <f>IF(B20=HOME!$A$9,0,IF(B20&lt;HOME!$A$9,"",IF(B20&gt;'NH3 conversion'!$D$32+HOME!$A$9,"",'NH3 conversion'!$D$38*'NH3 conversion'!$D$31)))</f>
        <v>1.5410567367496539</v>
      </c>
      <c r="G20" s="766">
        <f>IF(B20=HOME!$A$9,0,IF(B20&lt;HOME!$A$9,"",IF(B20&gt;'NH3 conversion'!$D$32+HOME!$A$9,"",D20/10^6*'NH3 conversion'!$D$42*1000)))</f>
        <v>1.689519229430128</v>
      </c>
      <c r="H20" s="766">
        <f>IF(B20=HOME!$A$9,SUM(E20:G20),IF(B20&lt;HOME!$A$9,"",IF(B20&gt;'NH3 conversion'!$D$32+HOME!$A$9,"",SUM(E20:G20))))</f>
        <v>3.2305759661797819</v>
      </c>
      <c r="I20" s="766">
        <f>IF(B20=HOME!$A$9,G20/(1+'NH3 conversion'!$D$33)^C20,IF(B20&lt;HOME!$A$9,"",IF(B20&gt;'NH3 conversion'!$D$32+HOME!$A$9,"",G20/(1+'NH3 conversion'!$D$33)^C20)))</f>
        <v>0.65426377255508084</v>
      </c>
      <c r="J20" s="766">
        <f>IF(B20=HOME!$A$9,H20/(1+'NH3 conversion'!$D$33)^C20,IF(B20&lt;HOME!$A$9,"",IF(B20&gt;'NH3 conversion'!$D$32+HOME!$A$9,"",H20/(1+'NH3 conversion'!$D$33)^C20)))</f>
        <v>1.2510356688106412</v>
      </c>
      <c r="K20" s="804">
        <f>IF(B20=HOME!$A$9,0,IF(B20&lt;HOME!$A$9,"",IF(B20&gt;'NH3 conversion'!$D$32+HOME!$A$9,"", 'NH3 conversion'!$D$44)))</f>
        <v>5488.1609827752964</v>
      </c>
      <c r="L20" s="805">
        <f>IF(B20=HOME!$A$9,K20/(1+'NH3 conversion'!$D$33)^C20,IF(B20&lt;HOME!$A$9,"",IF(B20&gt;'NH3 conversion'!$D$32+HOME!$A$9,"",K20/(1+'NH3 conversion'!$D$33)^C20)))</f>
        <v>2125.282060383121</v>
      </c>
      <c r="N20" s="88"/>
    </row>
    <row r="21" spans="2:14">
      <c r="B21" s="764">
        <v>2039</v>
      </c>
      <c r="C21" s="765">
        <f>IF(B21=HOME!$A$9,B21-HOME!$A$9,IF(B21&lt;HOME!$A$9,"",IF(B21&gt;HOME!$A$9+'NH3 conversion'!$D$32,"",B21-HOME!$A$9)))</f>
        <v>17</v>
      </c>
      <c r="D21" s="766" cm="1">
        <f t="array" ref="D21">IF(B21=HOME!$A$9,0,IF(B21&lt;HOME!$A$9,"",IF(B21&gt;'NH3 conversion'!$D$32+HOME!$A$9,"",IF(HOME!$B$64="Electrolysis",IF(HOME!$B$65="Grid",INDEX(Tb_Fuel[],MATCH(B21,Tb_Fuel[Year],0),HLOOKUP('NH3 conversion'!$E$14&amp;" - Grid",'Fuel Data'!$BB$2:$BX$3,2,FALSE)+1),INDEX(Tb_LCOE[],MATCH(HOME!$A$9,Tb_LCOE[Year],0),HLOOKUP("LCOE"&amp;HOME!$B$65,LCOE!$B$3:$G$4,2,FALSE)+1)/1000),INDEX(Tb_Fuel[],MATCH(B21,Tb_Fuel[Year],0),HLOOKUP(Compression!$E$14&amp;" - Gas",'Fuel Data'!$BB$2:$BX$3,2,FALSE)+1)/0.3))))</f>
        <v>4.657300035949978E-2</v>
      </c>
      <c r="E21" s="766">
        <f>IF(B21=HOME!$A$9,'NH3 conversion'!$D$38,IF(B21&lt;HOME!$A$9,"",IF(B21&gt;'NH3 conversion'!$D$32+HOME!$A$9,"",0)))</f>
        <v>0</v>
      </c>
      <c r="F21" s="766">
        <f>IF(B21=HOME!$A$9,0,IF(B21&lt;HOME!$A$9,"",IF(B21&gt;'NH3 conversion'!$D$32+HOME!$A$9,"",'NH3 conversion'!$D$38*'NH3 conversion'!$D$31)))</f>
        <v>1.5410567367496539</v>
      </c>
      <c r="G21" s="766">
        <f>IF(B21=HOME!$A$9,0,IF(B21&lt;HOME!$A$9,"",IF(B21&gt;'NH3 conversion'!$D$32+HOME!$A$9,"",D21/10^6*'NH3 conversion'!$D$42*1000)))</f>
        <v>1.689519229430128</v>
      </c>
      <c r="H21" s="766">
        <f>IF(B21=HOME!$A$9,SUM(E21:G21),IF(B21&lt;HOME!$A$9,"",IF(B21&gt;'NH3 conversion'!$D$32+HOME!$A$9,"",SUM(E21:G21))))</f>
        <v>3.2305759661797819</v>
      </c>
      <c r="I21" s="766">
        <f>IF(B21=HOME!$A$9,G21/(1+'NH3 conversion'!$D$33)^C21,IF(B21&lt;HOME!$A$9,"",IF(B21&gt;'NH3 conversion'!$D$32+HOME!$A$9,"",G21/(1+'NH3 conversion'!$D$33)^C21)))</f>
        <v>0.61659817064895839</v>
      </c>
      <c r="J21" s="766">
        <f>IF(B21=HOME!$A$9,H21/(1+'NH3 conversion'!$D$33)^C21,IF(B21&lt;HOME!$A$9,"",IF(B21&gt;'NH3 conversion'!$D$32+HOME!$A$9,"",H21/(1+'NH3 conversion'!$D$33)^C21)))</f>
        <v>1.1790142403770285</v>
      </c>
      <c r="K21" s="804">
        <f>IF(B21=HOME!$A$9,0,IF(B21&lt;HOME!$A$9,"",IF(B21&gt;'NH3 conversion'!$D$32+HOME!$A$9,"", 'NH3 conversion'!$D$44)))</f>
        <v>5488.1609827752964</v>
      </c>
      <c r="L21" s="805">
        <f>IF(B21=HOME!$A$9,K21/(1+'NH3 conversion'!$D$33)^C21,IF(B21&lt;HOME!$A$9,"",IF(B21&gt;'NH3 conversion'!$D$32+HOME!$A$9,"",K21/(1+'NH3 conversion'!$D$33)^C21)))</f>
        <v>2002.9307528791203</v>
      </c>
      <c r="N21" s="88"/>
    </row>
    <row r="22" spans="2:14">
      <c r="B22" s="764">
        <v>2040</v>
      </c>
      <c r="C22" s="765">
        <f>IF(B22=HOME!$A$9,B22-HOME!$A$9,IF(B22&lt;HOME!$A$9,"",IF(B22&gt;HOME!$A$9+'NH3 conversion'!$D$32,"",B22-HOME!$A$9)))</f>
        <v>18</v>
      </c>
      <c r="D22" s="766" cm="1">
        <f t="array" ref="D22">IF(B22=HOME!$A$9,0,IF(B22&lt;HOME!$A$9,"",IF(B22&gt;'NH3 conversion'!$D$32+HOME!$A$9,"",IF(HOME!$B$64="Electrolysis",IF(HOME!$B$65="Grid",INDEX(Tb_Fuel[],MATCH(B22,Tb_Fuel[Year],0),HLOOKUP('NH3 conversion'!$E$14&amp;" - Grid",'Fuel Data'!$BB$2:$BX$3,2,FALSE)+1),INDEX(Tb_LCOE[],MATCH(HOME!$A$9,Tb_LCOE[Year],0),HLOOKUP("LCOE"&amp;HOME!$B$65,LCOE!$B$3:$G$4,2,FALSE)+1)/1000),INDEX(Tb_Fuel[],MATCH(B22,Tb_Fuel[Year],0),HLOOKUP(Compression!$E$14&amp;" - Gas",'Fuel Data'!$BB$2:$BX$3,2,FALSE)+1)/0.3))))</f>
        <v>4.657300035949978E-2</v>
      </c>
      <c r="E22" s="766">
        <f>IF(B22=HOME!$A$9,'NH3 conversion'!$D$38,IF(B22&lt;HOME!$A$9,"",IF(B22&gt;'NH3 conversion'!$D$32+HOME!$A$9,"",0)))</f>
        <v>0</v>
      </c>
      <c r="F22" s="766">
        <f>IF(B22=HOME!$A$9,0,IF(B22&lt;HOME!$A$9,"",IF(B22&gt;'NH3 conversion'!$D$32+HOME!$A$9,"",'NH3 conversion'!$D$38*'NH3 conversion'!$D$31)))</f>
        <v>1.5410567367496539</v>
      </c>
      <c r="G22" s="766">
        <f>IF(B22=HOME!$A$9,0,IF(B22&lt;HOME!$A$9,"",IF(B22&gt;'NH3 conversion'!$D$32+HOME!$A$9,"",D22/10^6*'NH3 conversion'!$D$42*1000)))</f>
        <v>1.689519229430128</v>
      </c>
      <c r="H22" s="766">
        <f>IF(B22=HOME!$A$9,SUM(E22:G22),IF(B22&lt;HOME!$A$9,"",IF(B22&gt;'NH3 conversion'!$D$32+HOME!$A$9,"",SUM(E22:G22))))</f>
        <v>3.2305759661797819</v>
      </c>
      <c r="I22" s="766">
        <f>IF(B22=HOME!$A$9,G22/(1+'NH3 conversion'!$D$33)^C22,IF(B22&lt;HOME!$A$9,"",IF(B22&gt;'NH3 conversion'!$D$32+HOME!$A$9,"",G22/(1+'NH3 conversion'!$D$33)^C22)))</f>
        <v>0.5811009565192371</v>
      </c>
      <c r="J22" s="766">
        <f>IF(B22=HOME!$A$9,H22/(1+'NH3 conversion'!$D$33)^C22,IF(B22&lt;HOME!$A$9,"",IF(B22&gt;'NH3 conversion'!$D$32+HOME!$A$9,"",H22/(1+'NH3 conversion'!$D$33)^C22)))</f>
        <v>1.1111390455664343</v>
      </c>
      <c r="K22" s="804">
        <f>IF(B22=HOME!$A$9,0,IF(B22&lt;HOME!$A$9,"",IF(B22&gt;'NH3 conversion'!$D$32+HOME!$A$9,"", 'NH3 conversion'!$D$44)))</f>
        <v>5488.1609827752964</v>
      </c>
      <c r="L22" s="805">
        <f>IF(B22=HOME!$A$9,K22/(1+'NH3 conversion'!$D$33)^C22,IF(B22&lt;HOME!$A$9,"",IF(B22&gt;'NH3 conversion'!$D$32+HOME!$A$9,"",K22/(1+'NH3 conversion'!$D$33)^C22)))</f>
        <v>1887.6231421751763</v>
      </c>
      <c r="N22" s="88"/>
    </row>
    <row r="23" spans="2:14">
      <c r="B23" s="764">
        <v>2041</v>
      </c>
      <c r="C23" s="765">
        <f>IF(B23=HOME!$A$9,B23-HOME!$A$9,IF(B23&lt;HOME!$A$9,"",IF(B23&gt;HOME!$A$9+'NH3 conversion'!$D$32,"",B23-HOME!$A$9)))</f>
        <v>19</v>
      </c>
      <c r="D23" s="766" cm="1">
        <f t="array" ref="D23">IF(B23=HOME!$A$9,0,IF(B23&lt;HOME!$A$9,"",IF(B23&gt;'NH3 conversion'!$D$32+HOME!$A$9,"",IF(HOME!$B$64="Electrolysis",IF(HOME!$B$65="Grid",INDEX(Tb_Fuel[],MATCH(B23,Tb_Fuel[Year],0),HLOOKUP('NH3 conversion'!$E$14&amp;" - Grid",'Fuel Data'!$BB$2:$BX$3,2,FALSE)+1),INDEX(Tb_LCOE[],MATCH(HOME!$A$9,Tb_LCOE[Year],0),HLOOKUP("LCOE"&amp;HOME!$B$65,LCOE!$B$3:$G$4,2,FALSE)+1)/1000),INDEX(Tb_Fuel[],MATCH(B23,Tb_Fuel[Year],0),HLOOKUP(Compression!$E$14&amp;" - Gas",'Fuel Data'!$BB$2:$BX$3,2,FALSE)+1)/0.3))))</f>
        <v>4.657300035949978E-2</v>
      </c>
      <c r="E23" s="766">
        <f>IF(B23=HOME!$A$9,'NH3 conversion'!$D$38,IF(B23&lt;HOME!$A$9,"",IF(B23&gt;'NH3 conversion'!$D$32+HOME!$A$9,"",0)))</f>
        <v>0</v>
      </c>
      <c r="F23" s="766">
        <f>IF(B23=HOME!$A$9,0,IF(B23&lt;HOME!$A$9,"",IF(B23&gt;'NH3 conversion'!$D$32+HOME!$A$9,"",'NH3 conversion'!$D$38*'NH3 conversion'!$D$31)))</f>
        <v>1.5410567367496539</v>
      </c>
      <c r="G23" s="766">
        <f>IF(B23=HOME!$A$9,0,IF(B23&lt;HOME!$A$9,"",IF(B23&gt;'NH3 conversion'!$D$32+HOME!$A$9,"",D23/10^6*'NH3 conversion'!$D$42*1000)))</f>
        <v>1.689519229430128</v>
      </c>
      <c r="H23" s="766">
        <f>IF(B23=HOME!$A$9,SUM(E23:G23),IF(B23&lt;HOME!$A$9,"",IF(B23&gt;'NH3 conversion'!$D$32+HOME!$A$9,"",SUM(E23:G23))))</f>
        <v>3.2305759661797819</v>
      </c>
      <c r="I23" s="766">
        <f>IF(B23=HOME!$A$9,G23/(1+'NH3 conversion'!$D$33)^C23,IF(B23&lt;HOME!$A$9,"",IF(B23&gt;'NH3 conversion'!$D$32+HOME!$A$9,"",G23/(1+'NH3 conversion'!$D$33)^C23)))</f>
        <v>0.54764729728628936</v>
      </c>
      <c r="J23" s="766">
        <f>IF(B23=HOME!$A$9,H23/(1+'NH3 conversion'!$D$33)^C23,IF(B23&lt;HOME!$A$9,"",IF(B23&gt;'NH3 conversion'!$D$32+HOME!$A$9,"",H23/(1+'NH3 conversion'!$D$33)^C23)))</f>
        <v>1.0471713880126443</v>
      </c>
      <c r="K23" s="804">
        <f>IF(B23=HOME!$A$9,0,IF(B23&lt;HOME!$A$9,"",IF(B23&gt;'NH3 conversion'!$D$32+HOME!$A$9,"", 'NH3 conversion'!$D$44)))</f>
        <v>5488.1609827752964</v>
      </c>
      <c r="L23" s="805">
        <f>IF(B23=HOME!$A$9,K23/(1+'NH3 conversion'!$D$33)^C23,IF(B23&lt;HOME!$A$9,"",IF(B23&gt;'NH3 conversion'!$D$32+HOME!$A$9,"",K23/(1+'NH3 conversion'!$D$33)^C23)))</f>
        <v>1778.9537265596748</v>
      </c>
      <c r="N23" s="88"/>
    </row>
    <row r="24" spans="2:14">
      <c r="B24" s="764">
        <v>2042</v>
      </c>
      <c r="C24" s="765">
        <f>IF(B24=HOME!$A$9,B24-HOME!$A$9,IF(B24&lt;HOME!$A$9,"",IF(B24&gt;HOME!$A$9+'NH3 conversion'!$D$32,"",B24-HOME!$A$9)))</f>
        <v>20</v>
      </c>
      <c r="D24" s="766" cm="1">
        <f t="array" ref="D24">IF(B24=HOME!$A$9,0,IF(B24&lt;HOME!$A$9,"",IF(B24&gt;'NH3 conversion'!$D$32+HOME!$A$9,"",IF(HOME!$B$64="Electrolysis",IF(HOME!$B$65="Grid",INDEX(Tb_Fuel[],MATCH(B24,Tb_Fuel[Year],0),HLOOKUP('NH3 conversion'!$E$14&amp;" - Grid",'Fuel Data'!$BB$2:$BX$3,2,FALSE)+1),INDEX(Tb_LCOE[],MATCH(HOME!$A$9,Tb_LCOE[Year],0),HLOOKUP("LCOE"&amp;HOME!$B$65,LCOE!$B$3:$G$4,2,FALSE)+1)/1000),INDEX(Tb_Fuel[],MATCH(B24,Tb_Fuel[Year],0),HLOOKUP(Compression!$E$14&amp;" - Gas",'Fuel Data'!$BB$2:$BX$3,2,FALSE)+1)/0.3))))</f>
        <v>4.657300035949978E-2</v>
      </c>
      <c r="E24" s="766">
        <f>IF(B24=HOME!$A$9,'NH3 conversion'!$D$38,IF(B24&lt;HOME!$A$9,"",IF(B24&gt;'NH3 conversion'!$D$32+HOME!$A$9,"",0)))</f>
        <v>0</v>
      </c>
      <c r="F24" s="766">
        <f>IF(B24=HOME!$A$9,0,IF(B24&lt;HOME!$A$9,"",IF(B24&gt;'NH3 conversion'!$D$32+HOME!$A$9,"",'NH3 conversion'!$D$38*'NH3 conversion'!$D$31)))</f>
        <v>1.5410567367496539</v>
      </c>
      <c r="G24" s="766">
        <f>IF(B24=HOME!$A$9,0,IF(B24&lt;HOME!$A$9,"",IF(B24&gt;'NH3 conversion'!$D$32+HOME!$A$9,"",D24/10^6*'NH3 conversion'!$D$42*1000)))</f>
        <v>1.689519229430128</v>
      </c>
      <c r="H24" s="766">
        <f>IF(B24=HOME!$A$9,SUM(E24:G24),IF(B24&lt;HOME!$A$9,"",IF(B24&gt;'NH3 conversion'!$D$32+HOME!$A$9,"",SUM(E24:G24))))</f>
        <v>3.2305759661797819</v>
      </c>
      <c r="I24" s="766">
        <f>IF(B24=HOME!$A$9,G24/(1+'NH3 conversion'!$D$33)^C24,IF(B24&lt;HOME!$A$9,"",IF(B24&gt;'NH3 conversion'!$D$32+HOME!$A$9,"",G24/(1+'NH3 conversion'!$D$33)^C24)))</f>
        <v>0.51611954663001602</v>
      </c>
      <c r="J24" s="766">
        <f>IF(B24=HOME!$A$9,H24/(1+'NH3 conversion'!$D$33)^C24,IF(B24&lt;HOME!$A$9,"",IF(B24&gt;'NH3 conversion'!$D$32+HOME!$A$9,"",H24/(1+'NH3 conversion'!$D$33)^C24)))</f>
        <v>0.98688631296663842</v>
      </c>
      <c r="K24" s="804">
        <f>IF(B24=HOME!$A$9,0,IF(B24&lt;HOME!$A$9,"",IF(B24&gt;'NH3 conversion'!$D$32+HOME!$A$9,"", 'NH3 conversion'!$D$44)))</f>
        <v>5488.1609827752964</v>
      </c>
      <c r="L24" s="805">
        <f>IF(B24=HOME!$A$9,K24/(1+'NH3 conversion'!$D$33)^C24,IF(B24&lt;HOME!$A$9,"",IF(B24&gt;'NH3 conversion'!$D$32+HOME!$A$9,"",K24/(1+'NH3 conversion'!$D$33)^C24)))</f>
        <v>1676.54034882926</v>
      </c>
      <c r="N24" s="88"/>
    </row>
    <row r="25" spans="2:14">
      <c r="B25" s="764">
        <v>2043</v>
      </c>
      <c r="C25" s="765">
        <f>IF(B25=HOME!$A$9,B25-HOME!$A$9,IF(B25&lt;HOME!$A$9,"",IF(B25&gt;HOME!$A$9+'NH3 conversion'!$D$32,"",B25-HOME!$A$9)))</f>
        <v>21</v>
      </c>
      <c r="D25" s="766" cm="1">
        <f t="array" ref="D25">IF(B25=HOME!$A$9,0,IF(B25&lt;HOME!$A$9,"",IF(B25&gt;'NH3 conversion'!$D$32+HOME!$A$9,"",IF(HOME!$B$64="Electrolysis",IF(HOME!$B$65="Grid",INDEX(Tb_Fuel[],MATCH(B25,Tb_Fuel[Year],0),HLOOKUP('NH3 conversion'!$E$14&amp;" - Grid",'Fuel Data'!$BB$2:$BX$3,2,FALSE)+1),INDEX(Tb_LCOE[],MATCH(HOME!$A$9,Tb_LCOE[Year],0),HLOOKUP("LCOE"&amp;HOME!$B$65,LCOE!$B$3:$G$4,2,FALSE)+1)/1000),INDEX(Tb_Fuel[],MATCH(B25,Tb_Fuel[Year],0),HLOOKUP(Compression!$E$14&amp;" - Gas",'Fuel Data'!$BB$2:$BX$3,2,FALSE)+1)/0.3))))</f>
        <v>4.657300035949978E-2</v>
      </c>
      <c r="E25" s="766">
        <f>IF(B25=HOME!$A$9,'NH3 conversion'!$D$38,IF(B25&lt;HOME!$A$9,"",IF(B25&gt;'NH3 conversion'!$D$32+HOME!$A$9,"",0)))</f>
        <v>0</v>
      </c>
      <c r="F25" s="766">
        <f>IF(B25=HOME!$A$9,0,IF(B25&lt;HOME!$A$9,"",IF(B25&gt;'NH3 conversion'!$D$32+HOME!$A$9,"",'NH3 conversion'!$D$38*'NH3 conversion'!$D$31)))</f>
        <v>1.5410567367496539</v>
      </c>
      <c r="G25" s="766">
        <f>IF(B25=HOME!$A$9,0,IF(B25&lt;HOME!$A$9,"",IF(B25&gt;'NH3 conversion'!$D$32+HOME!$A$9,"",D25/10^6*'NH3 conversion'!$D$42*1000)))</f>
        <v>1.689519229430128</v>
      </c>
      <c r="H25" s="766">
        <f>IF(B25=HOME!$A$9,SUM(E25:G25),IF(B25&lt;HOME!$A$9,"",IF(B25&gt;'NH3 conversion'!$D$32+HOME!$A$9,"",SUM(E25:G25))))</f>
        <v>3.2305759661797819</v>
      </c>
      <c r="I25" s="766">
        <f>IF(B25=HOME!$A$9,G25/(1+'NH3 conversion'!$D$33)^C25,IF(B25&lt;HOME!$A$9,"",IF(B25&gt;'NH3 conversion'!$D$32+HOME!$A$9,"",G25/(1+'NH3 conversion'!$D$33)^C25)))</f>
        <v>0.48640683106360744</v>
      </c>
      <c r="J25" s="766">
        <f>IF(B25=HOME!$A$9,H25/(1+'NH3 conversion'!$D$33)^C25,IF(B25&lt;HOME!$A$9,"",IF(B25&gt;'NH3 conversion'!$D$32+HOME!$A$9,"",H25/(1+'NH3 conversion'!$D$33)^C25)))</f>
        <v>0.93007181619932278</v>
      </c>
      <c r="K25" s="804">
        <f>IF(B25=HOME!$A$9,0,IF(B25&lt;HOME!$A$9,"",IF(B25&gt;'NH3 conversion'!$D$32+HOME!$A$9,"", 'NH3 conversion'!$D$44)))</f>
        <v>5488.1609827752964</v>
      </c>
      <c r="L25" s="805">
        <f>IF(B25=HOME!$A$9,K25/(1+'NH3 conversion'!$D$33)^C25,IF(B25&lt;HOME!$A$9,"",IF(B25&gt;'NH3 conversion'!$D$32+HOME!$A$9,"",K25/(1+'NH3 conversion'!$D$33)^C25)))</f>
        <v>1580.0228523584642</v>
      </c>
    </row>
    <row r="26" spans="2:14">
      <c r="B26" s="764">
        <v>2044</v>
      </c>
      <c r="C26" s="765">
        <f>IF(B26=HOME!$A$9,B26-HOME!$A$9,IF(B26&lt;HOME!$A$9,"",IF(B26&gt;HOME!$A$9+'NH3 conversion'!$D$32,"",B26-HOME!$A$9)))</f>
        <v>22</v>
      </c>
      <c r="D26" s="766" cm="1">
        <f t="array" ref="D26">IF(B26=HOME!$A$9,0,IF(B26&lt;HOME!$A$9,"",IF(B26&gt;'NH3 conversion'!$D$32+HOME!$A$9,"",IF(HOME!$B$64="Electrolysis",IF(HOME!$B$65="Grid",INDEX(Tb_Fuel[],MATCH(B26,Tb_Fuel[Year],0),HLOOKUP('NH3 conversion'!$E$14&amp;" - Grid",'Fuel Data'!$BB$2:$BX$3,2,FALSE)+1),INDEX(Tb_LCOE[],MATCH(HOME!$A$9,Tb_LCOE[Year],0),HLOOKUP("LCOE"&amp;HOME!$B$65,LCOE!$B$3:$G$4,2,FALSE)+1)/1000),INDEX(Tb_Fuel[],MATCH(B26,Tb_Fuel[Year],0),HLOOKUP(Compression!$E$14&amp;" - Gas",'Fuel Data'!$BB$2:$BX$3,2,FALSE)+1)/0.3))))</f>
        <v>4.657300035949978E-2</v>
      </c>
      <c r="E26" s="766">
        <f>IF(B26=HOME!$A$9,'NH3 conversion'!$D$38,IF(B26&lt;HOME!$A$9,"",IF(B26&gt;'NH3 conversion'!$D$32+HOME!$A$9,"",0)))</f>
        <v>0</v>
      </c>
      <c r="F26" s="766">
        <f>IF(B26=HOME!$A$9,0,IF(B26&lt;HOME!$A$9,"",IF(B26&gt;'NH3 conversion'!$D$32+HOME!$A$9,"",'NH3 conversion'!$D$38*'NH3 conversion'!$D$31)))</f>
        <v>1.5410567367496539</v>
      </c>
      <c r="G26" s="766">
        <f>IF(B26=HOME!$A$9,0,IF(B26&lt;HOME!$A$9,"",IF(B26&gt;'NH3 conversion'!$D$32+HOME!$A$9,"",D26/10^6*'NH3 conversion'!$D$42*1000)))</f>
        <v>1.689519229430128</v>
      </c>
      <c r="H26" s="766">
        <f>IF(B26=HOME!$A$9,SUM(E26:G26),IF(B26&lt;HOME!$A$9,"",IF(B26&gt;'NH3 conversion'!$D$32+HOME!$A$9,"",SUM(E26:G26))))</f>
        <v>3.2305759661797819</v>
      </c>
      <c r="I26" s="766">
        <f>IF(B26=HOME!$A$9,G26/(1+'NH3 conversion'!$D$33)^C26,IF(B26&lt;HOME!$A$9,"",IF(B26&gt;'NH3 conversion'!$D$32+HOME!$A$9,"",G26/(1+'NH3 conversion'!$D$33)^C26)))</f>
        <v>0.45840466002529273</v>
      </c>
      <c r="J26" s="766">
        <f>IF(B26=HOME!$A$9,H26/(1+'NH3 conversion'!$D$33)^C26,IF(B26&lt;HOME!$A$9,"",IF(B26&gt;'NH3 conversion'!$D$32+HOME!$A$9,"",H26/(1+'NH3 conversion'!$D$33)^C26)))</f>
        <v>0.87652809844729229</v>
      </c>
      <c r="K26" s="804">
        <f>IF(B26=HOME!$A$9,0,IF(B26&lt;HOME!$A$9,"",IF(B26&gt;'NH3 conversion'!$D$32+HOME!$A$9,"", 'NH3 conversion'!$D$44)))</f>
        <v>5488.1609827752964</v>
      </c>
      <c r="L26" s="805">
        <f>IF(B26=HOME!$A$9,K26/(1+'NH3 conversion'!$D$33)^C26,IF(B26&lt;HOME!$A$9,"",IF(B26&gt;'NH3 conversion'!$D$32+HOME!$A$9,"",K26/(1+'NH3 conversion'!$D$33)^C26)))</f>
        <v>1489.0618145386609</v>
      </c>
    </row>
    <row r="27" spans="2:14">
      <c r="B27" s="764">
        <v>2045</v>
      </c>
      <c r="C27" s="765">
        <f>IF(B27=HOME!$A$9,B27-HOME!$A$9,IF(B27&lt;HOME!$A$9,"",IF(B27&gt;HOME!$A$9+'NH3 conversion'!$D$32,"",B27-HOME!$A$9)))</f>
        <v>23</v>
      </c>
      <c r="D27" s="766" cm="1">
        <f t="array" ref="D27">IF(B27=HOME!$A$9,0,IF(B27&lt;HOME!$A$9,"",IF(B27&gt;'NH3 conversion'!$D$32+HOME!$A$9,"",IF(HOME!$B$64="Electrolysis",IF(HOME!$B$65="Grid",INDEX(Tb_Fuel[],MATCH(B27,Tb_Fuel[Year],0),HLOOKUP('NH3 conversion'!$E$14&amp;" - Grid",'Fuel Data'!$BB$2:$BX$3,2,FALSE)+1),INDEX(Tb_LCOE[],MATCH(HOME!$A$9,Tb_LCOE[Year],0),HLOOKUP("LCOE"&amp;HOME!$B$65,LCOE!$B$3:$G$4,2,FALSE)+1)/1000),INDEX(Tb_Fuel[],MATCH(B27,Tb_Fuel[Year],0),HLOOKUP(Compression!$E$14&amp;" - Gas",'Fuel Data'!$BB$2:$BX$3,2,FALSE)+1)/0.3))))</f>
        <v>4.657300035949978E-2</v>
      </c>
      <c r="E27" s="766">
        <f>IF(B27=HOME!$A$9,'NH3 conversion'!$D$38,IF(B27&lt;HOME!$A$9,"",IF(B27&gt;'NH3 conversion'!$D$32+HOME!$A$9,"",0)))</f>
        <v>0</v>
      </c>
      <c r="F27" s="766">
        <f>IF(B27=HOME!$A$9,0,IF(B27&lt;HOME!$A$9,"",IF(B27&gt;'NH3 conversion'!$D$32+HOME!$A$9,"",'NH3 conversion'!$D$38*'NH3 conversion'!$D$31)))</f>
        <v>1.5410567367496539</v>
      </c>
      <c r="G27" s="766">
        <f>IF(B27=HOME!$A$9,0,IF(B27&lt;HOME!$A$9,"",IF(B27&gt;'NH3 conversion'!$D$32+HOME!$A$9,"",D27/10^6*'NH3 conversion'!$D$42*1000)))</f>
        <v>1.689519229430128</v>
      </c>
      <c r="H27" s="766">
        <f>IF(B27=HOME!$A$9,SUM(E27:G27),IF(B27&lt;HOME!$A$9,"",IF(B27&gt;'NH3 conversion'!$D$32+HOME!$A$9,"",SUM(E27:G27))))</f>
        <v>3.2305759661797819</v>
      </c>
      <c r="I27" s="766">
        <f>IF(B27=HOME!$A$9,G27/(1+'NH3 conversion'!$D$33)^C27,IF(B27&lt;HOME!$A$9,"",IF(B27&gt;'NH3 conversion'!$D$32+HOME!$A$9,"",G27/(1+'NH3 conversion'!$D$33)^C27)))</f>
        <v>0.43201455841689218</v>
      </c>
      <c r="J27" s="766">
        <f>IF(B27=HOME!$A$9,H27/(1+'NH3 conversion'!$D$33)^C27,IF(B27&lt;HOME!$A$9,"",IF(B27&gt;'NH3 conversion'!$D$32+HOME!$A$9,"",H27/(1+'NH3 conversion'!$D$33)^C27)))</f>
        <v>0.82606686277973629</v>
      </c>
      <c r="K27" s="804">
        <f>IF(B27=HOME!$A$9,0,IF(B27&lt;HOME!$A$9,"",IF(B27&gt;'NH3 conversion'!$D$32+HOME!$A$9,"", 'NH3 conversion'!$D$44)))</f>
        <v>5488.1609827752964</v>
      </c>
      <c r="L27" s="805">
        <f>IF(B27=HOME!$A$9,K27/(1+'NH3 conversion'!$D$33)^C27,IF(B27&lt;HOME!$A$9,"",IF(B27&gt;'NH3 conversion'!$D$32+HOME!$A$9,"",K27/(1+'NH3 conversion'!$D$33)^C27)))</f>
        <v>1403.3373531322336</v>
      </c>
    </row>
    <row r="28" spans="2:14">
      <c r="B28" s="764">
        <v>2046</v>
      </c>
      <c r="C28" s="765">
        <f>IF(B28=HOME!$A$9,B28-HOME!$A$9,IF(B28&lt;HOME!$A$9,"",IF(B28&gt;HOME!$A$9+'NH3 conversion'!$D$32,"",B28-HOME!$A$9)))</f>
        <v>24</v>
      </c>
      <c r="D28" s="766" cm="1">
        <f t="array" ref="D28">IF(B28=HOME!$A$9,0,IF(B28&lt;HOME!$A$9,"",IF(B28&gt;'NH3 conversion'!$D$32+HOME!$A$9,"",IF(HOME!$B$64="Electrolysis",IF(HOME!$B$65="Grid",INDEX(Tb_Fuel[],MATCH(B28,Tb_Fuel[Year],0),HLOOKUP('NH3 conversion'!$E$14&amp;" - Grid",'Fuel Data'!$BB$2:$BX$3,2,FALSE)+1),INDEX(Tb_LCOE[],MATCH(HOME!$A$9,Tb_LCOE[Year],0),HLOOKUP("LCOE"&amp;HOME!$B$65,LCOE!$B$3:$G$4,2,FALSE)+1)/1000),INDEX(Tb_Fuel[],MATCH(B28,Tb_Fuel[Year],0),HLOOKUP(Compression!$E$14&amp;" - Gas",'Fuel Data'!$BB$2:$BX$3,2,FALSE)+1)/0.3))))</f>
        <v>4.657300035949978E-2</v>
      </c>
      <c r="E28" s="766">
        <f>IF(B28=HOME!$A$9,'NH3 conversion'!$D$38,IF(B28&lt;HOME!$A$9,"",IF(B28&gt;'NH3 conversion'!$D$32+HOME!$A$9,"",0)))</f>
        <v>0</v>
      </c>
      <c r="F28" s="766">
        <f>IF(B28=HOME!$A$9,0,IF(B28&lt;HOME!$A$9,"",IF(B28&gt;'NH3 conversion'!$D$32+HOME!$A$9,"",'NH3 conversion'!$D$38*'NH3 conversion'!$D$31)))</f>
        <v>1.5410567367496539</v>
      </c>
      <c r="G28" s="766">
        <f>IF(B28=HOME!$A$9,0,IF(B28&lt;HOME!$A$9,"",IF(B28&gt;'NH3 conversion'!$D$32+HOME!$A$9,"",D28/10^6*'NH3 conversion'!$D$42*1000)))</f>
        <v>1.689519229430128</v>
      </c>
      <c r="H28" s="766">
        <f>IF(B28=HOME!$A$9,SUM(E28:G28),IF(B28&lt;HOME!$A$9,"",IF(B28&gt;'NH3 conversion'!$D$32+HOME!$A$9,"",SUM(E28:G28))))</f>
        <v>3.2305759661797819</v>
      </c>
      <c r="I28" s="766">
        <f>IF(B28=HOME!$A$9,G28/(1+'NH3 conversion'!$D$33)^C28,IF(B28&lt;HOME!$A$9,"",IF(B28&gt;'NH3 conversion'!$D$32+HOME!$A$9,"",G28/(1+'NH3 conversion'!$D$33)^C28)))</f>
        <v>0.40714372029691964</v>
      </c>
      <c r="J28" s="766">
        <f>IF(B28=HOME!$A$9,H28/(1+'NH3 conversion'!$D$33)^C28,IF(B28&lt;HOME!$A$9,"",IF(B28&gt;'NH3 conversion'!$D$32+HOME!$A$9,"",H28/(1+'NH3 conversion'!$D$33)^C28)))</f>
        <v>0.77851065241554163</v>
      </c>
      <c r="K28" s="804">
        <f>IF(B28=HOME!$A$9,0,IF(B28&lt;HOME!$A$9,"",IF(B28&gt;'NH3 conversion'!$D$32+HOME!$A$9,"", 'NH3 conversion'!$D$44)))</f>
        <v>5488.1609827752964</v>
      </c>
      <c r="L28" s="805">
        <f>IF(B28=HOME!$A$9,K28/(1+'NH3 conversion'!$D$33)^C28,IF(B28&lt;HOME!$A$9,"",IF(B28&gt;'NH3 conversion'!$D$32+HOME!$A$9,"",K28/(1+'NH3 conversion'!$D$33)^C28)))</f>
        <v>1322.5480013442734</v>
      </c>
    </row>
    <row r="29" spans="2:14">
      <c r="B29" s="764">
        <v>2047</v>
      </c>
      <c r="C29" s="765">
        <f>IF(B29=HOME!$A$9,B29-HOME!$A$9,IF(B29&lt;HOME!$A$9,"",IF(B29&gt;HOME!$A$9+'NH3 conversion'!$D$32,"",B29-HOME!$A$9)))</f>
        <v>25</v>
      </c>
      <c r="D29" s="766" cm="1">
        <f t="array" ref="D29">IF(B29=HOME!$A$9,0,IF(B29&lt;HOME!$A$9,"",IF(B29&gt;'NH3 conversion'!$D$32+HOME!$A$9,"",IF(HOME!$B$64="Electrolysis",IF(HOME!$B$65="Grid",INDEX(Tb_Fuel[],MATCH(B29,Tb_Fuel[Year],0),HLOOKUP('NH3 conversion'!$E$14&amp;" - Grid",'Fuel Data'!$BB$2:$BX$3,2,FALSE)+1),INDEX(Tb_LCOE[],MATCH(HOME!$A$9,Tb_LCOE[Year],0),HLOOKUP("LCOE"&amp;HOME!$B$65,LCOE!$B$3:$G$4,2,FALSE)+1)/1000),INDEX(Tb_Fuel[],MATCH(B29,Tb_Fuel[Year],0),HLOOKUP(Compression!$E$14&amp;" - Gas",'Fuel Data'!$BB$2:$BX$3,2,FALSE)+1)/0.3))))</f>
        <v>4.657300035949978E-2</v>
      </c>
      <c r="E29" s="766">
        <f>IF(B29=HOME!$A$9,'NH3 conversion'!$D$38,IF(B29&lt;HOME!$A$9,"",IF(B29&gt;'NH3 conversion'!$D$32+HOME!$A$9,"",0)))</f>
        <v>0</v>
      </c>
      <c r="F29" s="766">
        <f>IF(B29=HOME!$A$9,0,IF(B29&lt;HOME!$A$9,"",IF(B29&gt;'NH3 conversion'!$D$32+HOME!$A$9,"",'NH3 conversion'!$D$38*'NH3 conversion'!$D$31)))</f>
        <v>1.5410567367496539</v>
      </c>
      <c r="G29" s="766">
        <f>IF(B29=HOME!$A$9,0,IF(B29&lt;HOME!$A$9,"",IF(B29&gt;'NH3 conversion'!$D$32+HOME!$A$9,"",D29/10^6*'NH3 conversion'!$D$42*1000)))</f>
        <v>1.689519229430128</v>
      </c>
      <c r="H29" s="766">
        <f>IF(B29=HOME!$A$9,SUM(E29:G29),IF(B29&lt;HOME!$A$9,"",IF(B29&gt;'NH3 conversion'!$D$32+HOME!$A$9,"",SUM(E29:G29))))</f>
        <v>3.2305759661797819</v>
      </c>
      <c r="I29" s="766">
        <f>IF(B29=HOME!$A$9,G29/(1+'NH3 conversion'!$D$33)^C29,IF(B29&lt;HOME!$A$9,"",IF(B29&gt;'NH3 conversion'!$D$32+HOME!$A$9,"",G29/(1+'NH3 conversion'!$D$33)^C29)))</f>
        <v>0.3837046825103817</v>
      </c>
      <c r="J29" s="766">
        <f>IF(B29=HOME!$A$9,H29/(1+'NH3 conversion'!$D$33)^C29,IF(B29&lt;HOME!$A$9,"",IF(B29&gt;'NH3 conversion'!$D$32+HOME!$A$9,"",H29/(1+'NH3 conversion'!$D$33)^C29)))</f>
        <v>0.73369222666189693</v>
      </c>
      <c r="K29" s="804">
        <f>IF(B29=HOME!$A$9,0,IF(B29&lt;HOME!$A$9,"",IF(B29&gt;'NH3 conversion'!$D$32+HOME!$A$9,"", 'NH3 conversion'!$D$44)))</f>
        <v>5488.1609827752964</v>
      </c>
      <c r="L29" s="805">
        <f>IF(B29=HOME!$A$9,K29/(1+'NH3 conversion'!$D$33)^C29,IF(B29&lt;HOME!$A$9,"",IF(B29&gt;'NH3 conversion'!$D$32+HOME!$A$9,"",K29/(1+'NH3 conversion'!$D$33)^C29)))</f>
        <v>1246.4096476557734</v>
      </c>
    </row>
    <row r="30" spans="2:14">
      <c r="B30" s="764">
        <v>2048</v>
      </c>
      <c r="C30" s="765">
        <f>IF(B30=HOME!$A$9,B30-HOME!$A$9,IF(B30&lt;HOME!$A$9,"",IF(B30&gt;HOME!$A$9+'NH3 conversion'!$D$32,"",B30-HOME!$A$9)))</f>
        <v>26</v>
      </c>
      <c r="D30" s="766" cm="1">
        <f t="array" ref="D30">IF(B30=HOME!$A$9,0,IF(B30&lt;HOME!$A$9,"",IF(B30&gt;'NH3 conversion'!$D$32+HOME!$A$9,"",IF(HOME!$B$64="Electrolysis",IF(HOME!$B$65="Grid",INDEX(Tb_Fuel[],MATCH(B30,Tb_Fuel[Year],0),HLOOKUP('NH3 conversion'!$E$14&amp;" - Grid",'Fuel Data'!$BB$2:$BX$3,2,FALSE)+1),INDEX(Tb_LCOE[],MATCH(HOME!$A$9,Tb_LCOE[Year],0),HLOOKUP("LCOE"&amp;HOME!$B$65,LCOE!$B$3:$G$4,2,FALSE)+1)/1000),INDEX(Tb_Fuel[],MATCH(B30,Tb_Fuel[Year],0),HLOOKUP(Compression!$E$14&amp;" - Gas",'Fuel Data'!$BB$2:$BX$3,2,FALSE)+1)/0.3))))</f>
        <v>4.657300035949978E-2</v>
      </c>
      <c r="E30" s="766">
        <f>IF(B30=HOME!$A$9,'NH3 conversion'!$D$38,IF(B30&lt;HOME!$A$9,"",IF(B30&gt;'NH3 conversion'!$D$32+HOME!$A$9,"",0)))</f>
        <v>0</v>
      </c>
      <c r="F30" s="766">
        <f>IF(B30=HOME!$A$9,0,IF(B30&lt;HOME!$A$9,"",IF(B30&gt;'NH3 conversion'!$D$32+HOME!$A$9,"",'NH3 conversion'!$D$38*'NH3 conversion'!$D$31)))</f>
        <v>1.5410567367496539</v>
      </c>
      <c r="G30" s="766">
        <f>IF(B30=HOME!$A$9,0,IF(B30&lt;HOME!$A$9,"",IF(B30&gt;'NH3 conversion'!$D$32+HOME!$A$9,"",D30/10^6*'NH3 conversion'!$D$42*1000)))</f>
        <v>1.689519229430128</v>
      </c>
      <c r="H30" s="766">
        <f>IF(B30=HOME!$A$9,SUM(E30:G30),IF(B30&lt;HOME!$A$9,"",IF(B30&gt;'NH3 conversion'!$D$32+HOME!$A$9,"",SUM(E30:G30))))</f>
        <v>3.2305759661797819</v>
      </c>
      <c r="I30" s="766">
        <f>IF(B30=HOME!$A$9,G30/(1+'NH3 conversion'!$D$33)^C30,IF(B30&lt;HOME!$A$9,"",IF(B30&gt;'NH3 conversion'!$D$32+HOME!$A$9,"",G30/(1+'NH3 conversion'!$D$33)^C30)))</f>
        <v>0.36161501710752708</v>
      </c>
      <c r="J30" s="766">
        <f>IF(B30=HOME!$A$9,H30/(1+'NH3 conversion'!$D$33)^C30,IF(B30&lt;HOME!$A$9,"",IF(B30&gt;'NH3 conversion'!$D$32+HOME!$A$9,"",H30/(1+'NH3 conversion'!$D$33)^C30)))</f>
        <v>0.69145397277976406</v>
      </c>
      <c r="K30" s="804">
        <f>IF(B30=HOME!$A$9,0,IF(B30&lt;HOME!$A$9,"",IF(B30&gt;'NH3 conversion'!$D$32+HOME!$A$9,"", 'NH3 conversion'!$D$44)))</f>
        <v>5488.1609827752964</v>
      </c>
      <c r="L30" s="805">
        <f>IF(B30=HOME!$A$9,K30/(1+'NH3 conversion'!$D$33)^C30,IF(B30&lt;HOME!$A$9,"",IF(B30&gt;'NH3 conversion'!$D$32+HOME!$A$9,"",K30/(1+'NH3 conversion'!$D$33)^C30)))</f>
        <v>1174.6545366900345</v>
      </c>
    </row>
    <row r="31" spans="2:14">
      <c r="B31" s="764">
        <v>2049</v>
      </c>
      <c r="C31" s="765">
        <f>IF(B31=HOME!$A$9,B31-HOME!$A$9,IF(B31&lt;HOME!$A$9,"",IF(B31&gt;HOME!$A$9+'NH3 conversion'!$D$32,"",B31-HOME!$A$9)))</f>
        <v>27</v>
      </c>
      <c r="D31" s="766" cm="1">
        <f t="array" ref="D31">IF(B31=HOME!$A$9,0,IF(B31&lt;HOME!$A$9,"",IF(B31&gt;'NH3 conversion'!$D$32+HOME!$A$9,"",IF(HOME!$B$64="Electrolysis",IF(HOME!$B$65="Grid",INDEX(Tb_Fuel[],MATCH(B31,Tb_Fuel[Year],0),HLOOKUP('NH3 conversion'!$E$14&amp;" - Grid",'Fuel Data'!$BB$2:$BX$3,2,FALSE)+1),INDEX(Tb_LCOE[],MATCH(HOME!$A$9,Tb_LCOE[Year],0),HLOOKUP("LCOE"&amp;HOME!$B$65,LCOE!$B$3:$G$4,2,FALSE)+1)/1000),INDEX(Tb_Fuel[],MATCH(B31,Tb_Fuel[Year],0),HLOOKUP(Compression!$E$14&amp;" - Gas",'Fuel Data'!$BB$2:$BX$3,2,FALSE)+1)/0.3))))</f>
        <v>4.657300035949978E-2</v>
      </c>
      <c r="E31" s="766">
        <f>IF(B31=HOME!$A$9,'NH3 conversion'!$D$38,IF(B31&lt;HOME!$A$9,"",IF(B31&gt;'NH3 conversion'!$D$32+HOME!$A$9,"",0)))</f>
        <v>0</v>
      </c>
      <c r="F31" s="766">
        <f>IF(B31=HOME!$A$9,0,IF(B31&lt;HOME!$A$9,"",IF(B31&gt;'NH3 conversion'!$D$32+HOME!$A$9,"",'NH3 conversion'!$D$38*'NH3 conversion'!$D$31)))</f>
        <v>1.5410567367496539</v>
      </c>
      <c r="G31" s="766">
        <f>IF(B31=HOME!$A$9,0,IF(B31&lt;HOME!$A$9,"",IF(B31&gt;'NH3 conversion'!$D$32+HOME!$A$9,"",D31/10^6*'NH3 conversion'!$D$42*1000)))</f>
        <v>1.689519229430128</v>
      </c>
      <c r="H31" s="766">
        <f>IF(B31=HOME!$A$9,SUM(E31:G31),IF(B31&lt;HOME!$A$9,"",IF(B31&gt;'NH3 conversion'!$D$32+HOME!$A$9,"",SUM(E31:G31))))</f>
        <v>3.2305759661797819</v>
      </c>
      <c r="I31" s="766">
        <f>IF(B31=HOME!$A$9,G31/(1+'NH3 conversion'!$D$33)^C31,IF(B31&lt;HOME!$A$9,"",IF(B31&gt;'NH3 conversion'!$D$32+HOME!$A$9,"",G31/(1+'NH3 conversion'!$D$33)^C31)))</f>
        <v>0.34079704146987833</v>
      </c>
      <c r="J31" s="766">
        <f>IF(B31=HOME!$A$9,H31/(1+'NH3 conversion'!$D$33)^C31,IF(B31&lt;HOME!$A$9,"",IF(B31&gt;'NH3 conversion'!$D$32+HOME!$A$9,"",H31/(1+'NH3 conversion'!$D$33)^C31)))</f>
        <v>0.65164735170792876</v>
      </c>
      <c r="K31" s="804">
        <f>IF(B31=HOME!$A$9,0,IF(B31&lt;HOME!$A$9,"",IF(B31&gt;'NH3 conversion'!$D$32+HOME!$A$9,"", 'NH3 conversion'!$D$44)))</f>
        <v>5488.1609827752964</v>
      </c>
      <c r="L31" s="805">
        <f>IF(B31=HOME!$A$9,K31/(1+'NH3 conversion'!$D$33)^C31,IF(B31&lt;HOME!$A$9,"",IF(B31&gt;'NH3 conversion'!$D$32+HOME!$A$9,"",K31/(1+'NH3 conversion'!$D$33)^C31)))</f>
        <v>1107.0303275986428</v>
      </c>
    </row>
    <row r="32" spans="2:14">
      <c r="B32" s="764">
        <v>2050</v>
      </c>
      <c r="C32" s="765">
        <f>IF(B32=HOME!$A$9,B32-HOME!$A$9,IF(B32&lt;HOME!$A$9,"",IF(B32&gt;HOME!$A$9+'NH3 conversion'!$D$32,"",B32-HOME!$A$9)))</f>
        <v>28</v>
      </c>
      <c r="D32" s="766" cm="1">
        <f t="array" ref="D32">IF(B32=HOME!$A$9,0,IF(B32&lt;HOME!$A$9,"",IF(B32&gt;'NH3 conversion'!$D$32+HOME!$A$9,"",IF(HOME!$B$64="Electrolysis",IF(HOME!$B$65="Grid",INDEX(Tb_Fuel[],MATCH(B32,Tb_Fuel[Year],0),HLOOKUP('NH3 conversion'!$E$14&amp;" - Grid",'Fuel Data'!$BB$2:$BX$3,2,FALSE)+1),INDEX(Tb_LCOE[],MATCH(HOME!$A$9,Tb_LCOE[Year],0),HLOOKUP("LCOE"&amp;HOME!$B$65,LCOE!$B$3:$G$4,2,FALSE)+1)/1000),INDEX(Tb_Fuel[],MATCH(B32,Tb_Fuel[Year],0),HLOOKUP(Compression!$E$14&amp;" - Gas",'Fuel Data'!$BB$2:$BX$3,2,FALSE)+1)/0.3))))</f>
        <v>4.657300035949978E-2</v>
      </c>
      <c r="E32" s="766">
        <f>IF(B32=HOME!$A$9,'NH3 conversion'!$D$38,IF(B32&lt;HOME!$A$9,"",IF(B32&gt;'NH3 conversion'!$D$32+HOME!$A$9,"",0)))</f>
        <v>0</v>
      </c>
      <c r="F32" s="766">
        <f>IF(B32=HOME!$A$9,0,IF(B32&lt;HOME!$A$9,"",IF(B32&gt;'NH3 conversion'!$D$32+HOME!$A$9,"",'NH3 conversion'!$D$38*'NH3 conversion'!$D$31)))</f>
        <v>1.5410567367496539</v>
      </c>
      <c r="G32" s="766">
        <f>IF(B32=HOME!$A$9,0,IF(B32&lt;HOME!$A$9,"",IF(B32&gt;'NH3 conversion'!$D$32+HOME!$A$9,"",D32/10^6*'NH3 conversion'!$D$42*1000)))</f>
        <v>1.689519229430128</v>
      </c>
      <c r="H32" s="766">
        <f>IF(B32=HOME!$A$9,SUM(E32:G32),IF(B32&lt;HOME!$A$9,"",IF(B32&gt;'NH3 conversion'!$D$32+HOME!$A$9,"",SUM(E32:G32))))</f>
        <v>3.2305759661797819</v>
      </c>
      <c r="I32" s="766">
        <f>IF(B32=HOME!$A$9,G32/(1+'NH3 conversion'!$D$33)^C32,IF(B32&lt;HOME!$A$9,"",IF(B32&gt;'NH3 conversion'!$D$32+HOME!$A$9,"",G32/(1+'NH3 conversion'!$D$33)^C32)))</f>
        <v>0.3211775451241472</v>
      </c>
      <c r="J32" s="766">
        <f>IF(B32=HOME!$A$9,H32/(1+'NH3 conversion'!$D$33)^C32,IF(B32&lt;HOME!$A$9,"",IF(B32&gt;'NH3 conversion'!$D$32+HOME!$A$9,"",H32/(1+'NH3 conversion'!$D$33)^C32)))</f>
        <v>0.61413237569640988</v>
      </c>
      <c r="K32" s="804">
        <f>IF(B32=HOME!$A$9,0,IF(B32&lt;HOME!$A$9,"",IF(B32&gt;'NH3 conversion'!$D$32+HOME!$A$9,"", 'NH3 conversion'!$D$44)))</f>
        <v>5488.1609827752964</v>
      </c>
      <c r="L32" s="805">
        <f>IF(B32=HOME!$A$9,K32/(1+'NH3 conversion'!$D$33)^C32,IF(B32&lt;HOME!$A$9,"",IF(B32&gt;'NH3 conversion'!$D$32+HOME!$A$9,"",K32/(1+'NH3 conversion'!$D$33)^C32)))</f>
        <v>1043.2992066556376</v>
      </c>
    </row>
    <row r="33" spans="2:12">
      <c r="B33" s="764">
        <v>2051</v>
      </c>
      <c r="C33" s="765" t="str">
        <f>IF(B33=HOME!$A$9,B33-HOME!$A$9,IF(B33&lt;HOME!$A$9,"",IF(B33&gt;HOME!$A$9+'NH3 conversion'!$D$32,"",B33-HOME!$A$9)))</f>
        <v/>
      </c>
      <c r="D33" s="766" t="str" cm="1">
        <f t="array" ref="D33">IF(B33=HOME!$A$9,0,IF(B33&lt;HOME!$A$9,"",IF(B33&gt;'NH3 conversion'!$D$32+HOME!$A$9,"",IF(HOME!$B$64="Electrolysis",IF(HOME!$B$65="Grid",INDEX(Tb_Fuel[],MATCH(B33,Tb_Fuel[Year],0),HLOOKUP('NH3 conversion'!$E$14&amp;" - Grid",'Fuel Data'!$BB$2:$BX$3,2,FALSE)+1),INDEX(Tb_LCOE[],MATCH(HOME!$A$9,Tb_LCOE[Year],0),HLOOKUP("LCOE"&amp;HOME!$B$65,LCOE!$B$3:$G$4,2,FALSE)+1)/1000),INDEX(Tb_Fuel[],MATCH(B33,Tb_Fuel[Year],0),HLOOKUP(Compression!$E$14&amp;" - Gas",'Fuel Data'!$BB$2:$BX$3,2,FALSE)+1)/0.3))))</f>
        <v/>
      </c>
      <c r="E33" s="766" t="str">
        <f>IF(B33=HOME!$A$9,'NH3 conversion'!$D$38,IF(B33&lt;HOME!$A$9,"",IF(B33&gt;'NH3 conversion'!$D$32+HOME!$A$9,"",0)))</f>
        <v/>
      </c>
      <c r="F33" s="766" t="str">
        <f>IF(B33=HOME!$A$9,0,IF(B33&lt;HOME!$A$9,"",IF(B33&gt;'NH3 conversion'!$D$32+HOME!$A$9,"",'NH3 conversion'!$D$38*'NH3 conversion'!$D$31)))</f>
        <v/>
      </c>
      <c r="G33" s="766" t="str">
        <f>IF(B33=HOME!$A$9,0,IF(B33&lt;HOME!$A$9,"",IF(B33&gt;'NH3 conversion'!$D$32+HOME!$A$9,"",D33/10^6*'NH3 conversion'!$D$42*1000)))</f>
        <v/>
      </c>
      <c r="H33" s="766" t="str">
        <f>IF(B33=HOME!$A$9,SUM(E33:G33),IF(B33&lt;HOME!$A$9,"",IF(B33&gt;'NH3 conversion'!$D$32+HOME!$A$9,"",SUM(E33:G33))))</f>
        <v/>
      </c>
      <c r="I33" s="766" t="str">
        <f>IF(B33=HOME!$A$9,G33/(1+'NH3 conversion'!$D$33)^C33,IF(B33&lt;HOME!$A$9,"",IF(B33&gt;'NH3 conversion'!$D$32+HOME!$A$9,"",G33/(1+'NH3 conversion'!$D$33)^C33)))</f>
        <v/>
      </c>
      <c r="J33" s="766" t="str">
        <f>IF(B33=HOME!$A$9,H33/(1+'NH3 conversion'!$D$33)^C33,IF(B33&lt;HOME!$A$9,"",IF(B33&gt;'NH3 conversion'!$D$32+HOME!$A$9,"",H33/(1+'NH3 conversion'!$D$33)^C33)))</f>
        <v/>
      </c>
      <c r="K33" s="804" t="str">
        <f>IF(B33=HOME!$A$9,0,IF(B33&lt;HOME!$A$9,"",IF(B33&gt;'NH3 conversion'!$D$32+HOME!$A$9,"", 'NH3 conversion'!$D$44)))</f>
        <v/>
      </c>
      <c r="L33" s="805" t="str">
        <f>IF(B33=HOME!$A$9,K33/(1+'NH3 conversion'!$D$33)^C33,IF(B33&lt;HOME!$A$9,"",IF(B33&gt;'NH3 conversion'!$D$32+HOME!$A$9,"",K33/(1+'NH3 conversion'!$D$33)^C33)))</f>
        <v/>
      </c>
    </row>
    <row r="34" spans="2:12">
      <c r="B34" s="764">
        <v>2052</v>
      </c>
      <c r="C34" s="765" t="str">
        <f>IF(B34=HOME!$A$9,B34-HOME!$A$9,IF(B34&lt;HOME!$A$9,"",IF(B34&gt;HOME!$A$9+'NH3 conversion'!$D$32,"",B34-HOME!$A$9)))</f>
        <v/>
      </c>
      <c r="D34" s="766" t="str" cm="1">
        <f t="array" ref="D34">IF(B34=HOME!$A$9,0,IF(B34&lt;HOME!$A$9,"",IF(B34&gt;'NH3 conversion'!$D$32+HOME!$A$9,"",IF(HOME!$B$64="Electrolysis",IF(HOME!$B$65="Grid",INDEX(Tb_Fuel[],MATCH(B34,Tb_Fuel[Year],0),HLOOKUP('NH3 conversion'!$E$14&amp;" - Grid",'Fuel Data'!$BB$2:$BX$3,2,FALSE)+1),INDEX(Tb_LCOE[],MATCH(HOME!$A$9,Tb_LCOE[Year],0),HLOOKUP("LCOE"&amp;HOME!$B$65,LCOE!$B$3:$G$4,2,FALSE)+1)/1000),INDEX(Tb_Fuel[],MATCH(B34,Tb_Fuel[Year],0),HLOOKUP(Compression!$E$14&amp;" - Gas",'Fuel Data'!$BB$2:$BX$3,2,FALSE)+1)/0.3))))</f>
        <v/>
      </c>
      <c r="E34" s="766" t="str">
        <f>IF(B34=HOME!$A$9,'NH3 conversion'!$D$38,IF(B34&lt;HOME!$A$9,"",IF(B34&gt;'NH3 conversion'!$D$32+HOME!$A$9,"",0)))</f>
        <v/>
      </c>
      <c r="F34" s="766" t="str">
        <f>IF(B34=HOME!$A$9,0,IF(B34&lt;HOME!$A$9,"",IF(B34&gt;'NH3 conversion'!$D$32+HOME!$A$9,"",'NH3 conversion'!$D$38*'NH3 conversion'!$D$31)))</f>
        <v/>
      </c>
      <c r="G34" s="766" t="str">
        <f>IF(B34=HOME!$A$9,0,IF(B34&lt;HOME!$A$9,"",IF(B34&gt;'NH3 conversion'!$D$32+HOME!$A$9,"",D34/10^6*'NH3 conversion'!$D$42*1000)))</f>
        <v/>
      </c>
      <c r="H34" s="766" t="str">
        <f>IF(B34=HOME!$A$9,SUM(E34:G34),IF(B34&lt;HOME!$A$9,"",IF(B34&gt;'NH3 conversion'!$D$32+HOME!$A$9,"",SUM(E34:G34))))</f>
        <v/>
      </c>
      <c r="I34" s="766" t="str">
        <f>IF(B34=HOME!$A$9,G34/(1+'NH3 conversion'!$D$33)^C34,IF(B34&lt;HOME!$A$9,"",IF(B34&gt;'NH3 conversion'!$D$32+HOME!$A$9,"",G34/(1+'NH3 conversion'!$D$33)^C34)))</f>
        <v/>
      </c>
      <c r="J34" s="766" t="str">
        <f>IF(B34=HOME!$A$9,H34/(1+'NH3 conversion'!$D$33)^C34,IF(B34&lt;HOME!$A$9,"",IF(B34&gt;'NH3 conversion'!$D$32+HOME!$A$9,"",H34/(1+'NH3 conversion'!$D$33)^C34)))</f>
        <v/>
      </c>
      <c r="K34" s="804" t="str">
        <f>IF(B34=HOME!$A$9,0,IF(B34&lt;HOME!$A$9,"",IF(B34&gt;'NH3 conversion'!$D$32+HOME!$A$9,"", 'NH3 conversion'!$D$44)))</f>
        <v/>
      </c>
      <c r="L34" s="805" t="str">
        <f>IF(B34=HOME!$A$9,K34/(1+'NH3 conversion'!$D$33)^C34,IF(B34&lt;HOME!$A$9,"",IF(B34&gt;'NH3 conversion'!$D$32+HOME!$A$9,"",K34/(1+'NH3 conversion'!$D$33)^C34)))</f>
        <v/>
      </c>
    </row>
    <row r="35" spans="2:12">
      <c r="B35" s="764">
        <v>2053</v>
      </c>
      <c r="C35" s="765" t="str">
        <f>IF(B35=HOME!$A$9,B35-HOME!$A$9,IF(B35&lt;HOME!$A$9,"",IF(B35&gt;HOME!$A$9+'NH3 conversion'!$D$32,"",B35-HOME!$A$9)))</f>
        <v/>
      </c>
      <c r="D35" s="766" t="str" cm="1">
        <f t="array" ref="D35">IF(B35=HOME!$A$9,0,IF(B35&lt;HOME!$A$9,"",IF(B35&gt;'NH3 conversion'!$D$32+HOME!$A$9,"",IF(HOME!$B$64="Electrolysis",IF(HOME!$B$65="Grid",INDEX(Tb_Fuel[],MATCH(B35,Tb_Fuel[Year],0),HLOOKUP('NH3 conversion'!$E$14&amp;" - Grid",'Fuel Data'!$BB$2:$BX$3,2,FALSE)+1),INDEX(Tb_LCOE[],MATCH(HOME!$A$9,Tb_LCOE[Year],0),HLOOKUP("LCOE"&amp;HOME!$B$65,LCOE!$B$3:$G$4,2,FALSE)+1)/1000),INDEX(Tb_Fuel[],MATCH(B35,Tb_Fuel[Year],0),HLOOKUP(Compression!$E$14&amp;" - Gas",'Fuel Data'!$BB$2:$BX$3,2,FALSE)+1)/0.3))))</f>
        <v/>
      </c>
      <c r="E35" s="766" t="str">
        <f>IF(B35=HOME!$A$9,'NH3 conversion'!$D$38,IF(B35&lt;HOME!$A$9,"",IF(B35&gt;'NH3 conversion'!$D$32+HOME!$A$9,"",0)))</f>
        <v/>
      </c>
      <c r="F35" s="766" t="str">
        <f>IF(B35=HOME!$A$9,0,IF(B35&lt;HOME!$A$9,"",IF(B35&gt;'NH3 conversion'!$D$32+HOME!$A$9,"",'NH3 conversion'!$D$38*'NH3 conversion'!$D$31)))</f>
        <v/>
      </c>
      <c r="G35" s="766" t="str">
        <f>IF(B35=HOME!$A$9,0,IF(B35&lt;HOME!$A$9,"",IF(B35&gt;'NH3 conversion'!$D$32+HOME!$A$9,"",D35/10^6*'NH3 conversion'!$D$42*1000)))</f>
        <v/>
      </c>
      <c r="H35" s="766" t="str">
        <f>IF(B35=HOME!$A$9,SUM(E35:G35),IF(B35&lt;HOME!$A$9,"",IF(B35&gt;'NH3 conversion'!$D$32+HOME!$A$9,"",SUM(E35:G35))))</f>
        <v/>
      </c>
      <c r="I35" s="766" t="str">
        <f>IF(B35=HOME!$A$9,G35/(1+'NH3 conversion'!$D$33)^C35,IF(B35&lt;HOME!$A$9,"",IF(B35&gt;'NH3 conversion'!$D$32+HOME!$A$9,"",G35/(1+'NH3 conversion'!$D$33)^C35)))</f>
        <v/>
      </c>
      <c r="J35" s="766" t="str">
        <f>IF(B35=HOME!$A$9,H35/(1+'NH3 conversion'!$D$33)^C35,IF(B35&lt;HOME!$A$9,"",IF(B35&gt;'NH3 conversion'!$D$32+HOME!$A$9,"",H35/(1+'NH3 conversion'!$D$33)^C35)))</f>
        <v/>
      </c>
      <c r="K35" s="804" t="str">
        <f>IF(B35=HOME!$A$9,0,IF(B35&lt;HOME!$A$9,"",IF(B35&gt;'NH3 conversion'!$D$32+HOME!$A$9,"", 'NH3 conversion'!$D$44)))</f>
        <v/>
      </c>
      <c r="L35" s="805" t="str">
        <f>IF(B35=HOME!$A$9,K35/(1+'NH3 conversion'!$D$33)^C35,IF(B35&lt;HOME!$A$9,"",IF(B35&gt;'NH3 conversion'!$D$32+HOME!$A$9,"",K35/(1+'NH3 conversion'!$D$33)^C35)))</f>
        <v/>
      </c>
    </row>
    <row r="36" spans="2:12">
      <c r="B36" s="764">
        <v>2054</v>
      </c>
      <c r="C36" s="765" t="str">
        <f>IF(B36=HOME!$A$9,B36-HOME!$A$9,IF(B36&lt;HOME!$A$9,"",IF(B36&gt;HOME!$A$9+'NH3 conversion'!$D$32,"",B36-HOME!$A$9)))</f>
        <v/>
      </c>
      <c r="D36" s="766" t="str" cm="1">
        <f t="array" ref="D36">IF(B36=HOME!$A$9,0,IF(B36&lt;HOME!$A$9,"",IF(B36&gt;'NH3 conversion'!$D$32+HOME!$A$9,"",IF(HOME!$B$64="Electrolysis",IF(HOME!$B$65="Grid",INDEX(Tb_Fuel[],MATCH(B36,Tb_Fuel[Year],0),HLOOKUP('NH3 conversion'!$E$14&amp;" - Grid",'Fuel Data'!$BB$2:$BX$3,2,FALSE)+1),INDEX(Tb_LCOE[],MATCH(HOME!$A$9,Tb_LCOE[Year],0),HLOOKUP("LCOE"&amp;HOME!$B$65,LCOE!$B$3:$G$4,2,FALSE)+1)/1000),INDEX(Tb_Fuel[],MATCH(B36,Tb_Fuel[Year],0),HLOOKUP(Compression!$E$14&amp;" - Gas",'Fuel Data'!$BB$2:$BX$3,2,FALSE)+1)/0.3))))</f>
        <v/>
      </c>
      <c r="E36" s="766" t="str">
        <f>IF(B36=HOME!$A$9,'NH3 conversion'!$D$38,IF(B36&lt;HOME!$A$9,"",IF(B36&gt;'NH3 conversion'!$D$32+HOME!$A$9,"",0)))</f>
        <v/>
      </c>
      <c r="F36" s="766" t="str">
        <f>IF(B36=HOME!$A$9,0,IF(B36&lt;HOME!$A$9,"",IF(B36&gt;'NH3 conversion'!$D$32+HOME!$A$9,"",'NH3 conversion'!$D$38*'NH3 conversion'!$D$31)))</f>
        <v/>
      </c>
      <c r="G36" s="766" t="str">
        <f>IF(B36=HOME!$A$9,0,IF(B36&lt;HOME!$A$9,"",IF(B36&gt;'NH3 conversion'!$D$32+HOME!$A$9,"",D36/10^6*'NH3 conversion'!$D$42*1000)))</f>
        <v/>
      </c>
      <c r="H36" s="766" t="str">
        <f>IF(B36=HOME!$A$9,SUM(E36:G36),IF(B36&lt;HOME!$A$9,"",IF(B36&gt;'NH3 conversion'!$D$32+HOME!$A$9,"",SUM(E36:G36))))</f>
        <v/>
      </c>
      <c r="I36" s="766" t="str">
        <f>IF(B36=HOME!$A$9,G36/(1+'NH3 conversion'!$D$33)^C36,IF(B36&lt;HOME!$A$9,"",IF(B36&gt;'NH3 conversion'!$D$32+HOME!$A$9,"",G36/(1+'NH3 conversion'!$D$33)^C36)))</f>
        <v/>
      </c>
      <c r="J36" s="766" t="str">
        <f>IF(B36=HOME!$A$9,H36/(1+'NH3 conversion'!$D$33)^C36,IF(B36&lt;HOME!$A$9,"",IF(B36&gt;'NH3 conversion'!$D$32+HOME!$A$9,"",H36/(1+'NH3 conversion'!$D$33)^C36)))</f>
        <v/>
      </c>
      <c r="K36" s="804" t="str">
        <f>IF(B36=HOME!$A$9,0,IF(B36&lt;HOME!$A$9,"",IF(B36&gt;'NH3 conversion'!$D$32+HOME!$A$9,"", 'NH3 conversion'!$D$44)))</f>
        <v/>
      </c>
      <c r="L36" s="805" t="str">
        <f>IF(B36=HOME!$A$9,K36/(1+'NH3 conversion'!$D$33)^C36,IF(B36&lt;HOME!$A$9,"",IF(B36&gt;'NH3 conversion'!$D$32+HOME!$A$9,"",K36/(1+'NH3 conversion'!$D$33)^C36)))</f>
        <v/>
      </c>
    </row>
    <row r="37" spans="2:12">
      <c r="B37" s="764">
        <v>2055</v>
      </c>
      <c r="C37" s="765" t="str">
        <f>IF(B37=HOME!$A$9,B37-HOME!$A$9,IF(B37&lt;HOME!$A$9,"",IF(B37&gt;HOME!$A$9+'NH3 conversion'!$D$32,"",B37-HOME!$A$9)))</f>
        <v/>
      </c>
      <c r="D37" s="766" t="str" cm="1">
        <f t="array" ref="D37">IF(B37=HOME!$A$9,0,IF(B37&lt;HOME!$A$9,"",IF(B37&gt;'NH3 conversion'!$D$32+HOME!$A$9,"",IF(HOME!$B$64="Electrolysis",IF(HOME!$B$65="Grid",INDEX(Tb_Fuel[],MATCH(B37,Tb_Fuel[Year],0),HLOOKUP('NH3 conversion'!$E$14&amp;" - Grid",'Fuel Data'!$BB$2:$BX$3,2,FALSE)+1),INDEX(Tb_LCOE[],MATCH(HOME!$A$9,Tb_LCOE[Year],0),HLOOKUP("LCOE"&amp;HOME!$B$65,LCOE!$B$3:$G$4,2,FALSE)+1)/1000),INDEX(Tb_Fuel[],MATCH(B37,Tb_Fuel[Year],0),HLOOKUP(Compression!$E$14&amp;" - Gas",'Fuel Data'!$BB$2:$BX$3,2,FALSE)+1)/0.3))))</f>
        <v/>
      </c>
      <c r="E37" s="766" t="str">
        <f>IF(B37=HOME!$A$9,'NH3 conversion'!$D$38,IF(B37&lt;HOME!$A$9,"",IF(B37&gt;'NH3 conversion'!$D$32+HOME!$A$9,"",0)))</f>
        <v/>
      </c>
      <c r="F37" s="766" t="str">
        <f>IF(B37=HOME!$A$9,0,IF(B37&lt;HOME!$A$9,"",IF(B37&gt;'NH3 conversion'!$D$32+HOME!$A$9,"",'NH3 conversion'!$D$38*'NH3 conversion'!$D$31)))</f>
        <v/>
      </c>
      <c r="G37" s="766" t="str">
        <f>IF(B37=HOME!$A$9,0,IF(B37&lt;HOME!$A$9,"",IF(B37&gt;'NH3 conversion'!$D$32+HOME!$A$9,"",D37/10^6*'NH3 conversion'!$D$42*1000)))</f>
        <v/>
      </c>
      <c r="H37" s="766" t="str">
        <f>IF(B37=HOME!$A$9,SUM(E37:G37),IF(B37&lt;HOME!$A$9,"",IF(B37&gt;'NH3 conversion'!$D$32+HOME!$A$9,"",SUM(E37:G37))))</f>
        <v/>
      </c>
      <c r="I37" s="766" t="str">
        <f>IF(B37=HOME!$A$9,G37/(1+'NH3 conversion'!$D$33)^C37,IF(B37&lt;HOME!$A$9,"",IF(B37&gt;'NH3 conversion'!$D$32+HOME!$A$9,"",G37/(1+'NH3 conversion'!$D$33)^C37)))</f>
        <v/>
      </c>
      <c r="J37" s="766" t="str">
        <f>IF(B37=HOME!$A$9,H37/(1+'NH3 conversion'!$D$33)^C37,IF(B37&lt;HOME!$A$9,"",IF(B37&gt;'NH3 conversion'!$D$32+HOME!$A$9,"",H37/(1+'NH3 conversion'!$D$33)^C37)))</f>
        <v/>
      </c>
      <c r="K37" s="804" t="str">
        <f>IF(B37=HOME!$A$9,0,IF(B37&lt;HOME!$A$9,"",IF(B37&gt;'NH3 conversion'!$D$32+HOME!$A$9,"", 'NH3 conversion'!$D$44)))</f>
        <v/>
      </c>
      <c r="L37" s="805" t="str">
        <f>IF(B37=HOME!$A$9,K37/(1+'NH3 conversion'!$D$33)^C37,IF(B37&lt;HOME!$A$9,"",IF(B37&gt;'NH3 conversion'!$D$32+HOME!$A$9,"",K37/(1+'NH3 conversion'!$D$33)^C37)))</f>
        <v/>
      </c>
    </row>
    <row r="38" spans="2:12">
      <c r="B38" s="764">
        <v>2056</v>
      </c>
      <c r="C38" s="765" t="str">
        <f>IF(B38=HOME!$A$9,B38-HOME!$A$9,IF(B38&lt;HOME!$A$9,"",IF(B38&gt;HOME!$A$9+'NH3 conversion'!$D$32,"",B38-HOME!$A$9)))</f>
        <v/>
      </c>
      <c r="D38" s="766" t="str" cm="1">
        <f t="array" ref="D38">IF(B38=HOME!$A$9,0,IF(B38&lt;HOME!$A$9,"",IF(B38&gt;'NH3 conversion'!$D$32+HOME!$A$9,"",IF(HOME!$B$64="Electrolysis",IF(HOME!$B$65="Grid",INDEX(Tb_Fuel[],MATCH(B38,Tb_Fuel[Year],0),HLOOKUP('NH3 conversion'!$E$14&amp;" - Grid",'Fuel Data'!$BB$2:$BX$3,2,FALSE)+1),INDEX(Tb_LCOE[],MATCH(HOME!$A$9,Tb_LCOE[Year],0),HLOOKUP("LCOE"&amp;HOME!$B$65,LCOE!$B$3:$G$4,2,FALSE)+1)/1000),INDEX(Tb_Fuel[],MATCH(B38,Tb_Fuel[Year],0),HLOOKUP(Compression!$E$14&amp;" - Gas",'Fuel Data'!$BB$2:$BX$3,2,FALSE)+1)/0.3))))</f>
        <v/>
      </c>
      <c r="E38" s="766" t="str">
        <f>IF(B38=HOME!$A$9,'NH3 conversion'!$D$38,IF(B38&lt;HOME!$A$9,"",IF(B38&gt;'NH3 conversion'!$D$32+HOME!$A$9,"",0)))</f>
        <v/>
      </c>
      <c r="F38" s="766" t="str">
        <f>IF(B38=HOME!$A$9,0,IF(B38&lt;HOME!$A$9,"",IF(B38&gt;'NH3 conversion'!$D$32+HOME!$A$9,"",'NH3 conversion'!$D$38*'NH3 conversion'!$D$31)))</f>
        <v/>
      </c>
      <c r="G38" s="766" t="str">
        <f>IF(B38=HOME!$A$9,0,IF(B38&lt;HOME!$A$9,"",IF(B38&gt;'NH3 conversion'!$D$32+HOME!$A$9,"",D38/10^6*'NH3 conversion'!$D$42*1000)))</f>
        <v/>
      </c>
      <c r="H38" s="766" t="str">
        <f>IF(B38=HOME!$A$9,SUM(E38:G38),IF(B38&lt;HOME!$A$9,"",IF(B38&gt;'NH3 conversion'!$D$32+HOME!$A$9,"",SUM(E38:G38))))</f>
        <v/>
      </c>
      <c r="I38" s="766" t="str">
        <f>IF(B38=HOME!$A$9,G38/(1+'NH3 conversion'!$D$33)^C38,IF(B38&lt;HOME!$A$9,"",IF(B38&gt;'NH3 conversion'!$D$32+HOME!$A$9,"",G38/(1+'NH3 conversion'!$D$33)^C38)))</f>
        <v/>
      </c>
      <c r="J38" s="766" t="str">
        <f>IF(B38=HOME!$A$9,H38/(1+'NH3 conversion'!$D$33)^C38,IF(B38&lt;HOME!$A$9,"",IF(B38&gt;'NH3 conversion'!$D$32+HOME!$A$9,"",H38/(1+'NH3 conversion'!$D$33)^C38)))</f>
        <v/>
      </c>
      <c r="K38" s="804" t="str">
        <f>IF(B38=HOME!$A$9,0,IF(B38&lt;HOME!$A$9,"",IF(B38&gt;'NH3 conversion'!$D$32+HOME!$A$9,"", 'NH3 conversion'!$D$44)))</f>
        <v/>
      </c>
      <c r="L38" s="805" t="str">
        <f>IF(B38=HOME!$A$9,K38/(1+'NH3 conversion'!$D$33)^C38,IF(B38&lt;HOME!$A$9,"",IF(B38&gt;'NH3 conversion'!$D$32+HOME!$A$9,"",K38/(1+'NH3 conversion'!$D$33)^C38)))</f>
        <v/>
      </c>
    </row>
    <row r="39" spans="2:12">
      <c r="B39" s="764">
        <v>2057</v>
      </c>
      <c r="C39" s="765" t="str">
        <f>IF(B39=HOME!$A$9,B39-HOME!$A$9,IF(B39&lt;HOME!$A$9,"",IF(B39&gt;HOME!$A$9+'NH3 conversion'!$D$32,"",B39-HOME!$A$9)))</f>
        <v/>
      </c>
      <c r="D39" s="766" t="str" cm="1">
        <f t="array" ref="D39">IF(B39=HOME!$A$9,0,IF(B39&lt;HOME!$A$9,"",IF(B39&gt;'NH3 conversion'!$D$32+HOME!$A$9,"",IF(HOME!$B$64="Electrolysis",IF(HOME!$B$65="Grid",INDEX(Tb_Fuel[],MATCH(B39,Tb_Fuel[Year],0),HLOOKUP('NH3 conversion'!$E$14&amp;" - Grid",'Fuel Data'!$BB$2:$BX$3,2,FALSE)+1),INDEX(Tb_LCOE[],MATCH(HOME!$A$9,Tb_LCOE[Year],0),HLOOKUP("LCOE"&amp;HOME!$B$65,LCOE!$B$3:$G$4,2,FALSE)+1)/1000),INDEX(Tb_Fuel[],MATCH(B39,Tb_Fuel[Year],0),HLOOKUP(Compression!$E$14&amp;" - Gas",'Fuel Data'!$BB$2:$BX$3,2,FALSE)+1)/0.3))))</f>
        <v/>
      </c>
      <c r="E39" s="766" t="str">
        <f>IF(B39=HOME!$A$9,'NH3 conversion'!$D$38,IF(B39&lt;HOME!$A$9,"",IF(B39&gt;'NH3 conversion'!$D$32+HOME!$A$9,"",0)))</f>
        <v/>
      </c>
      <c r="F39" s="766" t="str">
        <f>IF(B39=HOME!$A$9,0,IF(B39&lt;HOME!$A$9,"",IF(B39&gt;'NH3 conversion'!$D$32+HOME!$A$9,"",'NH3 conversion'!$D$38*'NH3 conversion'!$D$31)))</f>
        <v/>
      </c>
      <c r="G39" s="766" t="str">
        <f>IF(B39=HOME!$A$9,0,IF(B39&lt;HOME!$A$9,"",IF(B39&gt;'NH3 conversion'!$D$32+HOME!$A$9,"",D39/10^6*'NH3 conversion'!$D$42*1000)))</f>
        <v/>
      </c>
      <c r="H39" s="766" t="str">
        <f>IF(B39=HOME!$A$9,SUM(E39:G39),IF(B39&lt;HOME!$A$9,"",IF(B39&gt;'NH3 conversion'!$D$32+HOME!$A$9,"",SUM(E39:G39))))</f>
        <v/>
      </c>
      <c r="I39" s="766" t="str">
        <f>IF(B39=HOME!$A$9,G39/(1+'NH3 conversion'!$D$33)^C39,IF(B39&lt;HOME!$A$9,"",IF(B39&gt;'NH3 conversion'!$D$32+HOME!$A$9,"",G39/(1+'NH3 conversion'!$D$33)^C39)))</f>
        <v/>
      </c>
      <c r="J39" s="766" t="str">
        <f>IF(B39=HOME!$A$9,H39/(1+'NH3 conversion'!$D$33)^C39,IF(B39&lt;HOME!$A$9,"",IF(B39&gt;'NH3 conversion'!$D$32+HOME!$A$9,"",H39/(1+'NH3 conversion'!$D$33)^C39)))</f>
        <v/>
      </c>
      <c r="K39" s="804" t="str">
        <f>IF(B39=HOME!$A$9,0,IF(B39&lt;HOME!$A$9,"",IF(B39&gt;'NH3 conversion'!$D$32+HOME!$A$9,"", 'NH3 conversion'!$D$44)))</f>
        <v/>
      </c>
      <c r="L39" s="805" t="str">
        <f>IF(B39=HOME!$A$9,K39/(1+'NH3 conversion'!$D$33)^C39,IF(B39&lt;HOME!$A$9,"",IF(B39&gt;'NH3 conversion'!$D$32+HOME!$A$9,"",K39/(1+'NH3 conversion'!$D$33)^C39)))</f>
        <v/>
      </c>
    </row>
    <row r="40" spans="2:12">
      <c r="B40" s="764">
        <v>2058</v>
      </c>
      <c r="C40" s="765" t="str">
        <f>IF(B40=HOME!$A$9,B40-HOME!$A$9,IF(B40&lt;HOME!$A$9,"",IF(B40&gt;HOME!$A$9+'NH3 conversion'!$D$32,"",B40-HOME!$A$9)))</f>
        <v/>
      </c>
      <c r="D40" s="766" t="str" cm="1">
        <f t="array" ref="D40">IF(B40=HOME!$A$9,0,IF(B40&lt;HOME!$A$9,"",IF(B40&gt;'NH3 conversion'!$D$32+HOME!$A$9,"",IF(HOME!$B$64="Electrolysis",IF(HOME!$B$65="Grid",INDEX(Tb_Fuel[],MATCH(B40,Tb_Fuel[Year],0),HLOOKUP('NH3 conversion'!$E$14&amp;" - Grid",'Fuel Data'!$BB$2:$BX$3,2,FALSE)+1),INDEX(Tb_LCOE[],MATCH(HOME!$A$9,Tb_LCOE[Year],0),HLOOKUP("LCOE"&amp;HOME!$B$65,LCOE!$B$3:$G$4,2,FALSE)+1)/1000),INDEX(Tb_Fuel[],MATCH(B40,Tb_Fuel[Year],0),HLOOKUP(Compression!$E$14&amp;" - Gas",'Fuel Data'!$BB$2:$BX$3,2,FALSE)+1)/0.3))))</f>
        <v/>
      </c>
      <c r="E40" s="766" t="str">
        <f>IF(B40=HOME!$A$9,'NH3 conversion'!$D$38,IF(B40&lt;HOME!$A$9,"",IF(B40&gt;'NH3 conversion'!$D$32+HOME!$A$9,"",0)))</f>
        <v/>
      </c>
      <c r="F40" s="766" t="str">
        <f>IF(B40=HOME!$A$9,0,IF(B40&lt;HOME!$A$9,"",IF(B40&gt;'NH3 conversion'!$D$32+HOME!$A$9,"",'NH3 conversion'!$D$38*'NH3 conversion'!$D$31)))</f>
        <v/>
      </c>
      <c r="G40" s="766" t="str">
        <f>IF(B40=HOME!$A$9,0,IF(B40&lt;HOME!$A$9,"",IF(B40&gt;'NH3 conversion'!$D$32+HOME!$A$9,"",D40/10^6*'NH3 conversion'!$D$42*1000)))</f>
        <v/>
      </c>
      <c r="H40" s="766" t="str">
        <f>IF(B40=HOME!$A$9,SUM(E40:G40),IF(B40&lt;HOME!$A$9,"",IF(B40&gt;'NH3 conversion'!$D$32+HOME!$A$9,"",SUM(E40:G40))))</f>
        <v/>
      </c>
      <c r="I40" s="766" t="str">
        <f>IF(B40=HOME!$A$9,G40/(1+'NH3 conversion'!$D$33)^C40,IF(B40&lt;HOME!$A$9,"",IF(B40&gt;'NH3 conversion'!$D$32+HOME!$A$9,"",G40/(1+'NH3 conversion'!$D$33)^C40)))</f>
        <v/>
      </c>
      <c r="J40" s="766" t="str">
        <f>IF(B40=HOME!$A$9,H40/(1+'NH3 conversion'!$D$33)^C40,IF(B40&lt;HOME!$A$9,"",IF(B40&gt;'NH3 conversion'!$D$32+HOME!$A$9,"",H40/(1+'NH3 conversion'!$D$33)^C40)))</f>
        <v/>
      </c>
      <c r="K40" s="804" t="str">
        <f>IF(B40=HOME!$A$9,0,IF(B40&lt;HOME!$A$9,"",IF(B40&gt;'NH3 conversion'!$D$32+HOME!$A$9,"", 'NH3 conversion'!$D$44)))</f>
        <v/>
      </c>
      <c r="L40" s="805" t="str">
        <f>IF(B40=HOME!$A$9,K40/(1+'NH3 conversion'!$D$33)^C40,IF(B40&lt;HOME!$A$9,"",IF(B40&gt;'NH3 conversion'!$D$32+HOME!$A$9,"",K40/(1+'NH3 conversion'!$D$33)^C40)))</f>
        <v/>
      </c>
    </row>
    <row r="41" spans="2:12">
      <c r="B41" s="764">
        <v>2059</v>
      </c>
      <c r="C41" s="765" t="str">
        <f>IF(B41=HOME!$A$9,B41-HOME!$A$9,IF(B41&lt;HOME!$A$9,"",IF(B41&gt;HOME!$A$9+'NH3 conversion'!$D$32,"",B41-HOME!$A$9)))</f>
        <v/>
      </c>
      <c r="D41" s="766" t="str" cm="1">
        <f t="array" ref="D41">IF(B41=HOME!$A$9,0,IF(B41&lt;HOME!$A$9,"",IF(B41&gt;'NH3 conversion'!$D$32+HOME!$A$9,"",IF(HOME!$B$64="Electrolysis",IF(HOME!$B$65="Grid",INDEX(Tb_Fuel[],MATCH(B41,Tb_Fuel[Year],0),HLOOKUP('NH3 conversion'!$E$14&amp;" - Grid",'Fuel Data'!$BB$2:$BX$3,2,FALSE)+1),INDEX(Tb_LCOE[],MATCH(HOME!$A$9,Tb_LCOE[Year],0),HLOOKUP("LCOE"&amp;HOME!$B$65,LCOE!$B$3:$G$4,2,FALSE)+1)/1000),INDEX(Tb_Fuel[],MATCH(B41,Tb_Fuel[Year],0),HLOOKUP(Compression!$E$14&amp;" - Gas",'Fuel Data'!$BB$2:$BX$3,2,FALSE)+1)/0.3))))</f>
        <v/>
      </c>
      <c r="E41" s="766" t="str">
        <f>IF(B41=HOME!$A$9,'NH3 conversion'!$D$38,IF(B41&lt;HOME!$A$9,"",IF(B41&gt;'NH3 conversion'!$D$32+HOME!$A$9,"",0)))</f>
        <v/>
      </c>
      <c r="F41" s="766" t="str">
        <f>IF(B41=HOME!$A$9,0,IF(B41&lt;HOME!$A$9,"",IF(B41&gt;'NH3 conversion'!$D$32+HOME!$A$9,"",'NH3 conversion'!$D$38*'NH3 conversion'!$D$31)))</f>
        <v/>
      </c>
      <c r="G41" s="766" t="str">
        <f>IF(B41=HOME!$A$9,0,IF(B41&lt;HOME!$A$9,"",IF(B41&gt;'NH3 conversion'!$D$32+HOME!$A$9,"",D41/10^6*'NH3 conversion'!$D$42*1000)))</f>
        <v/>
      </c>
      <c r="H41" s="766" t="str">
        <f>IF(B41=HOME!$A$9,SUM(E41:G41),IF(B41&lt;HOME!$A$9,"",IF(B41&gt;'NH3 conversion'!$D$32+HOME!$A$9,"",SUM(E41:G41))))</f>
        <v/>
      </c>
      <c r="I41" s="766" t="str">
        <f>IF(B41=HOME!$A$9,G41/(1+'NH3 conversion'!$D$33)^C41,IF(B41&lt;HOME!$A$9,"",IF(B41&gt;'NH3 conversion'!$D$32+HOME!$A$9,"",G41/(1+'NH3 conversion'!$D$33)^C41)))</f>
        <v/>
      </c>
      <c r="J41" s="766" t="str">
        <f>IF(B41=HOME!$A$9,H41/(1+'NH3 conversion'!$D$33)^C41,IF(B41&lt;HOME!$A$9,"",IF(B41&gt;'NH3 conversion'!$D$32+HOME!$A$9,"",H41/(1+'NH3 conversion'!$D$33)^C41)))</f>
        <v/>
      </c>
      <c r="K41" s="804" t="str">
        <f>IF(B41=HOME!$A$9,0,IF(B41&lt;HOME!$A$9,"",IF(B41&gt;'NH3 conversion'!$D$32+HOME!$A$9,"", 'NH3 conversion'!$D$44)))</f>
        <v/>
      </c>
      <c r="L41" s="805" t="str">
        <f>IF(B41=HOME!$A$9,K41/(1+'NH3 conversion'!$D$33)^C41,IF(B41&lt;HOME!$A$9,"",IF(B41&gt;'NH3 conversion'!$D$32+HOME!$A$9,"",K41/(1+'NH3 conversion'!$D$33)^C41)))</f>
        <v/>
      </c>
    </row>
    <row r="42" spans="2:12" ht="17" thickBot="1">
      <c r="B42" s="770">
        <v>2060</v>
      </c>
      <c r="C42" s="771" t="str">
        <f>IF(B42=HOME!$A$9,B42-HOME!$A$9,IF(B42&lt;HOME!$A$9,"",IF(B42&gt;HOME!$A$9+'NH3 conversion'!$D$32,"",B42-HOME!$A$9)))</f>
        <v/>
      </c>
      <c r="D42" s="772" t="str" cm="1">
        <f t="array" ref="D42">IF(B42=HOME!$A$9,0,IF(B42&lt;HOME!$A$9,"",IF(B42&gt;'NH3 conversion'!$D$32+HOME!$A$9,"",IF(HOME!$B$64="Electrolysis",IF(HOME!$B$65="Grid",INDEX(Tb_Fuel[],MATCH(B42,Tb_Fuel[Year],0),HLOOKUP('NH3 conversion'!$E$14&amp;" - Grid",'Fuel Data'!$BB$2:$BX$3,2,FALSE)+1),INDEX(Tb_LCOE[],MATCH(HOME!$A$9,Tb_LCOE[Year],0),HLOOKUP("LCOE"&amp;HOME!$B$65,LCOE!$B$3:$G$4,2,FALSE)+1)/1000),INDEX(Tb_Fuel[],MATCH(B42,Tb_Fuel[Year],0),HLOOKUP(Compression!$E$14&amp;" - Gas",'Fuel Data'!$BB$2:$BX$3,2,FALSE)+1)/0.3))))</f>
        <v/>
      </c>
      <c r="E42" s="772" t="str">
        <f>IF(B42=HOME!$A$9,'NH3 conversion'!$D$38,IF(B42&lt;HOME!$A$9,"",IF(B42&gt;'NH3 conversion'!$D$32+HOME!$A$9,"",0)))</f>
        <v/>
      </c>
      <c r="F42" s="772" t="str">
        <f>IF(B42=HOME!$A$9,0,IF(B42&lt;HOME!$A$9,"",IF(B42&gt;'NH3 conversion'!$D$32+HOME!$A$9,"",'NH3 conversion'!$D$38*'NH3 conversion'!$D$31)))</f>
        <v/>
      </c>
      <c r="G42" s="772" t="str">
        <f>IF(B42=HOME!$A$9,0,IF(B42&lt;HOME!$A$9,"",IF(B42&gt;'NH3 conversion'!$D$32+HOME!$A$9,"",D42/10^6*'NH3 conversion'!$D$42*1000)))</f>
        <v/>
      </c>
      <c r="H42" s="772" t="str">
        <f>IF(B42=HOME!$A$9,SUM(E42:G42),IF(B42&lt;HOME!$A$9,"",IF(B42&gt;'NH3 conversion'!$D$32+HOME!$A$9,"",SUM(E42:G42))))</f>
        <v/>
      </c>
      <c r="I42" s="772" t="str">
        <f>IF(B42=HOME!$A$9,G42/(1+'NH3 conversion'!$D$33)^C42,IF(B42&lt;HOME!$A$9,"",IF(B42&gt;'NH3 conversion'!$D$32+HOME!$A$9,"",G42/(1+'NH3 conversion'!$D$33)^C42)))</f>
        <v/>
      </c>
      <c r="J42" s="772" t="str">
        <f>IF(B42=HOME!$A$9,H42/(1+'NH3 conversion'!$D$33)^C42,IF(B42&lt;HOME!$A$9,"",IF(B42&gt;'NH3 conversion'!$D$32+HOME!$A$9,"",H42/(1+'NH3 conversion'!$D$33)^C42)))</f>
        <v/>
      </c>
      <c r="K42" s="806" t="str">
        <f>IF(B42=HOME!$A$9,0,IF(B42&lt;HOME!$A$9,"",IF(B42&gt;'NH3 conversion'!$D$32+HOME!$A$9,"", 'NH3 conversion'!$D$44)))</f>
        <v/>
      </c>
      <c r="L42" s="807" t="str">
        <f>IF(B42=HOME!$A$9,K42/(1+'NH3 conversion'!$D$33)^C42,IF(B42&lt;HOME!$A$9,"",IF(B42&gt;'NH3 conversion'!$D$32+HOME!$A$9,"",K42/(1+'NH3 conversion'!$D$33)^C42)))</f>
        <v/>
      </c>
    </row>
    <row r="43" spans="2:12" ht="17" thickTop="1"/>
  </sheetData>
  <sheetProtection algorithmName="SHA-512" hashValue="dcWBw5KGxQOW5MMZe7wfjdUHKOVfXsd4+nQPVYkDTMtixjAfcwK6fd3VxUkCJ1U1KoCPDb8cKFRqQ03W/30LUA==" saltValue="LeEBCdKMlU8j0kqwavD7GQ==" spinCount="100000" sheet="1" objects="1" scenarios="1"/>
  <hyperlinks>
    <hyperlink ref="A1" r:id="rId1" location="HOME!A1" display="applewebdata://31258B04-1677-4581-A769-CA032B874ED9/ - HOME!A1" xr:uid="{9EFDB783-0BB1-4981-9061-888CD5DD8D14}"/>
  </hyperlinks>
  <pageMargins left="0.7" right="0.7" top="0.75" bottom="0.75" header="0.3" footer="0.3"/>
  <pageSetup paperSize="9"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D1A3-3BEE-4FFA-BFF0-152F30311A2F}">
  <sheetPr>
    <tabColor theme="7" tint="0.59999389629810485"/>
  </sheetPr>
  <dimension ref="A1:M59"/>
  <sheetViews>
    <sheetView zoomScale="63" zoomScaleNormal="70" workbookViewId="0">
      <selection activeCell="A32" activeCellId="4" sqref="A3:M16 F18:G30 D18:E30 A18:B30 A32:G41"/>
    </sheetView>
  </sheetViews>
  <sheetFormatPr baseColWidth="10" defaultColWidth="10.83203125" defaultRowHeight="16"/>
  <cols>
    <col min="1" max="1" width="13.83203125" style="2" bestFit="1" customWidth="1"/>
    <col min="2" max="2" width="12" style="2" bestFit="1" customWidth="1"/>
    <col min="3" max="3" width="9.5" style="2" bestFit="1" customWidth="1"/>
    <col min="4" max="4" width="12" style="2" bestFit="1" customWidth="1"/>
    <col min="5" max="5" width="15.5" style="2" bestFit="1" customWidth="1"/>
    <col min="6" max="6" width="57.33203125" style="2" bestFit="1" customWidth="1"/>
    <col min="7" max="7" width="38.5" style="2" bestFit="1" customWidth="1"/>
    <col min="8" max="9" width="10.83203125" style="2"/>
    <col min="10" max="10" width="39" style="2" bestFit="1" customWidth="1"/>
    <col min="11" max="12" width="10.83203125" style="2"/>
    <col min="13" max="13" width="10.83203125" style="2" customWidth="1"/>
    <col min="14" max="16384" width="10.83203125" style="2"/>
  </cols>
  <sheetData>
    <row r="1" spans="1:13">
      <c r="A1" s="213" t="s">
        <v>234</v>
      </c>
      <c r="B1" s="236"/>
      <c r="C1" s="236"/>
      <c r="D1" s="236"/>
      <c r="E1" s="236"/>
      <c r="F1" s="236"/>
      <c r="G1" s="236"/>
    </row>
    <row r="2" spans="1:13" ht="17" thickBot="1">
      <c r="A2" s="236"/>
      <c r="B2" s="236"/>
      <c r="C2" s="236"/>
      <c r="D2" s="236"/>
      <c r="E2" s="236"/>
      <c r="F2" s="236"/>
      <c r="G2" s="236"/>
    </row>
    <row r="3" spans="1:13" ht="18">
      <c r="A3" s="1190" t="s">
        <v>604</v>
      </c>
      <c r="B3" s="1191"/>
      <c r="C3" s="1191"/>
      <c r="D3" s="1191"/>
      <c r="E3" s="1191"/>
      <c r="F3" s="1191"/>
      <c r="G3" s="1298"/>
      <c r="H3" s="280"/>
      <c r="I3" s="280"/>
      <c r="J3" s="1308"/>
      <c r="K3" s="776" t="s">
        <v>566</v>
      </c>
      <c r="L3" s="777" t="s">
        <v>542</v>
      </c>
      <c r="M3" s="280"/>
    </row>
    <row r="4" spans="1:13">
      <c r="A4" s="1193"/>
      <c r="B4" s="1194"/>
      <c r="C4" s="1194"/>
      <c r="D4" s="1194"/>
      <c r="E4" s="1194"/>
      <c r="F4" s="1194"/>
      <c r="G4" s="1299"/>
      <c r="H4" s="280"/>
      <c r="I4" s="280"/>
      <c r="J4" s="1309"/>
      <c r="K4" s="778" t="s">
        <v>443</v>
      </c>
      <c r="L4" s="779" t="s">
        <v>75</v>
      </c>
      <c r="M4" s="280"/>
    </row>
    <row r="5" spans="1:13">
      <c r="A5" s="1149">
        <f>D37</f>
        <v>7.1600716180269017E-2</v>
      </c>
      <c r="B5" s="1150"/>
      <c r="C5" s="1150"/>
      <c r="D5" s="1150"/>
      <c r="E5" s="1153" t="s">
        <v>236</v>
      </c>
      <c r="F5" s="1153"/>
      <c r="G5" s="1154"/>
      <c r="H5" s="280"/>
      <c r="I5" s="280"/>
      <c r="J5" s="1310"/>
      <c r="K5" s="313"/>
      <c r="L5" s="780">
        <f>A5</f>
        <v>7.1600716180269017E-2</v>
      </c>
      <c r="M5" s="280"/>
    </row>
    <row r="6" spans="1:13" ht="17" thickBot="1">
      <c r="A6" s="1151"/>
      <c r="B6" s="1152"/>
      <c r="C6" s="1152"/>
      <c r="D6" s="1152"/>
      <c r="E6" s="1155"/>
      <c r="F6" s="1155"/>
      <c r="G6" s="1156"/>
      <c r="H6" s="280"/>
      <c r="I6" s="280"/>
      <c r="J6" s="668" t="s">
        <v>24</v>
      </c>
      <c r="K6" s="813">
        <f>Liquefaction!K11</f>
        <v>17.328767123287673</v>
      </c>
      <c r="L6" s="669">
        <f t="dataTable" ref="L6:L8" dt2D="0" dtr="0" r1="D21"/>
        <v>7.1514730275795302E-2</v>
      </c>
      <c r="M6" s="280"/>
    </row>
    <row r="7" spans="1:13">
      <c r="A7" s="553"/>
      <c r="B7" s="553"/>
      <c r="C7" s="553"/>
      <c r="D7" s="553"/>
      <c r="E7" s="553"/>
      <c r="F7" s="553"/>
      <c r="G7" s="553"/>
      <c r="H7" s="280"/>
      <c r="I7" s="280"/>
      <c r="J7" s="668" t="s">
        <v>104</v>
      </c>
      <c r="K7" s="813">
        <f>Liquefaction!K12</f>
        <v>1.5595890410958904</v>
      </c>
      <c r="L7" s="669">
        <v>7.5285946923634731E-2</v>
      </c>
      <c r="M7" s="280"/>
    </row>
    <row r="8" spans="1:13" ht="17" thickBot="1">
      <c r="A8" s="1157" t="s">
        <v>237</v>
      </c>
      <c r="B8" s="1158"/>
      <c r="C8" s="1158"/>
      <c r="D8" s="1158"/>
      <c r="E8" s="1159">
        <f>HOME!A9</f>
        <v>2022</v>
      </c>
      <c r="F8" s="1159"/>
      <c r="G8" s="1160"/>
      <c r="H8" s="280"/>
      <c r="I8" s="280"/>
      <c r="J8" s="670"/>
      <c r="K8" s="814">
        <f>Liquefaction!K13</f>
        <v>0</v>
      </c>
      <c r="L8" s="783" t="e">
        <v>#DIV/0!</v>
      </c>
      <c r="M8" s="280"/>
    </row>
    <row r="9" spans="1:13">
      <c r="A9" s="280"/>
      <c r="B9" s="280"/>
      <c r="C9" s="280"/>
      <c r="D9" s="280"/>
      <c r="E9" s="280"/>
      <c r="F9" s="280"/>
      <c r="G9" s="280"/>
      <c r="H9" s="280"/>
      <c r="I9" s="280"/>
      <c r="J9" s="280"/>
      <c r="K9" s="280"/>
      <c r="L9" s="280"/>
      <c r="M9" s="280"/>
    </row>
    <row r="10" spans="1:13">
      <c r="A10" s="1177" t="s">
        <v>241</v>
      </c>
      <c r="B10" s="1178"/>
      <c r="C10" s="1178"/>
      <c r="D10" s="1178"/>
      <c r="E10" s="1179" t="s">
        <v>381</v>
      </c>
      <c r="F10" s="1179"/>
      <c r="G10" s="1180"/>
      <c r="H10" s="280"/>
      <c r="I10" s="280"/>
      <c r="J10" s="280"/>
      <c r="K10" s="280"/>
      <c r="L10" s="280"/>
      <c r="M10" s="280"/>
    </row>
    <row r="11" spans="1:13">
      <c r="A11" s="280"/>
      <c r="B11" s="280"/>
      <c r="C11" s="280"/>
      <c r="D11" s="280"/>
      <c r="E11" s="280"/>
      <c r="F11" s="280"/>
      <c r="G11" s="280"/>
      <c r="H11" s="280"/>
      <c r="I11" s="280"/>
      <c r="J11" s="280"/>
      <c r="K11" s="280"/>
      <c r="L11" s="280"/>
      <c r="M11" s="280"/>
    </row>
    <row r="12" spans="1:13">
      <c r="A12" s="1157" t="s">
        <v>242</v>
      </c>
      <c r="B12" s="1158"/>
      <c r="C12" s="1158"/>
      <c r="D12" s="1158"/>
      <c r="E12" s="1159" t="str">
        <f>HOME!$B$9</f>
        <v>Spain</v>
      </c>
      <c r="F12" s="1159"/>
      <c r="G12" s="1160"/>
      <c r="H12" s="280"/>
      <c r="I12" s="280"/>
      <c r="J12" s="280"/>
      <c r="K12" s="280"/>
      <c r="L12" s="280"/>
      <c r="M12" s="280"/>
    </row>
    <row r="13" spans="1:13" ht="17" thickBot="1">
      <c r="A13" s="280"/>
      <c r="B13" s="280"/>
      <c r="C13" s="280"/>
      <c r="D13" s="280"/>
      <c r="E13" s="280"/>
      <c r="F13" s="280"/>
      <c r="G13" s="280"/>
      <c r="H13" s="280"/>
      <c r="I13" s="280"/>
      <c r="J13" s="280"/>
      <c r="K13" s="280"/>
      <c r="L13" s="280"/>
      <c r="M13" s="280"/>
    </row>
    <row r="14" spans="1:13" ht="17" thickBot="1">
      <c r="A14" s="1174" t="s">
        <v>243</v>
      </c>
      <c r="B14" s="1175"/>
      <c r="C14" s="1175"/>
      <c r="D14" s="1175"/>
      <c r="E14" s="1175"/>
      <c r="F14" s="1175"/>
      <c r="G14" s="1176"/>
      <c r="H14" s="280"/>
      <c r="I14" s="280"/>
      <c r="J14" s="280"/>
      <c r="K14" s="280"/>
      <c r="L14" s="280"/>
      <c r="M14" s="280"/>
    </row>
    <row r="15" spans="1:13">
      <c r="A15" s="556"/>
      <c r="B15" s="556"/>
      <c r="C15" s="556"/>
      <c r="D15" s="556"/>
      <c r="E15" s="556"/>
      <c r="F15" s="556"/>
      <c r="G15" s="556"/>
      <c r="H15" s="280"/>
      <c r="I15" s="280"/>
      <c r="J15" s="280"/>
      <c r="K15" s="280"/>
      <c r="L15" s="280"/>
      <c r="M15" s="280"/>
    </row>
    <row r="16" spans="1:13">
      <c r="A16" s="526" t="s">
        <v>154</v>
      </c>
      <c r="B16" s="526" t="s">
        <v>244</v>
      </c>
      <c r="C16" s="526" t="s">
        <v>245</v>
      </c>
      <c r="D16" s="526" t="s">
        <v>246</v>
      </c>
      <c r="E16" s="526" t="s">
        <v>247</v>
      </c>
      <c r="F16" s="603" t="s">
        <v>248</v>
      </c>
      <c r="G16" s="604"/>
      <c r="H16" s="280"/>
      <c r="I16" s="280"/>
      <c r="J16" s="280"/>
      <c r="K16" s="280"/>
      <c r="L16" s="280"/>
      <c r="M16" s="280"/>
    </row>
    <row r="18" spans="1:7" ht="18">
      <c r="A18" s="526" t="s">
        <v>191</v>
      </c>
      <c r="B18" s="727" cm="1">
        <f t="array" ref="B18">IFERROR(INDEX(Tb_Cpr2434[],MATCH(A18,Tb_Cpr2434[Parameter],0),HLOOKUP($E$10, 'Conversion data'!$AS$1:$AT$2,2,FALSE)+2),"-")</f>
        <v>0</v>
      </c>
      <c r="C18" s="57"/>
      <c r="D18" s="597">
        <f>IF(ISBLANK(C18),B18,C18)</f>
        <v>0</v>
      </c>
      <c r="E18" s="335"/>
      <c r="F18" s="574" t="s">
        <v>605</v>
      </c>
      <c r="G18" s="1187" t="s">
        <v>606</v>
      </c>
    </row>
    <row r="19" spans="1:7">
      <c r="A19" s="526" t="s">
        <v>405</v>
      </c>
      <c r="B19" s="727" cm="1">
        <f t="array" ref="B19">IFERROR(INDEX(Tb_Cpr2434[],MATCH(A19,Tb_Cpr2434[Parameter],0),HLOOKUP($E$10, 'Conversion data'!$AS$1:$AT$2,2,FALSE)+2),"-")</f>
        <v>0.95</v>
      </c>
      <c r="C19" s="57"/>
      <c r="D19" s="512">
        <f>IF(ISBLANK(C19),B19,C19)</f>
        <v>0.95</v>
      </c>
      <c r="E19" s="335"/>
      <c r="F19" s="658"/>
      <c r="G19" s="1188"/>
    </row>
    <row r="20" spans="1:7">
      <c r="A20" s="280"/>
      <c r="B20" s="280"/>
      <c r="D20" s="280"/>
      <c r="E20" s="280"/>
      <c r="F20" s="280"/>
      <c r="G20" s="616"/>
    </row>
    <row r="21" spans="1:7" ht="18">
      <c r="A21" s="526" t="s">
        <v>607</v>
      </c>
      <c r="B21" s="815">
        <f>Liquefaction!$D$47/365</f>
        <v>16.133082191780822</v>
      </c>
      <c r="C21" s="57"/>
      <c r="D21" s="590">
        <f t="shared" ref="D21:D22" si="0">IF(ISBLANK(C21),B21,C21)</f>
        <v>16.133082191780822</v>
      </c>
      <c r="E21" s="576" t="s">
        <v>443</v>
      </c>
      <c r="F21" s="614" t="s">
        <v>608</v>
      </c>
      <c r="G21" s="1187" t="s">
        <v>609</v>
      </c>
    </row>
    <row r="22" spans="1:7" ht="17">
      <c r="A22" s="526" t="s">
        <v>415</v>
      </c>
      <c r="B22" s="729" cm="1">
        <f t="array" ref="B22">IFERROR(INDEX(Tb_Cpr2434[],MATCH(A22,Tb_Cpr2434[Parameter],0),HLOOKUP($E$10, 'Conversion data'!$AS$1:$AT$2,2,FALSE)+2),"-")</f>
        <v>0.6</v>
      </c>
      <c r="C22" s="57"/>
      <c r="D22" s="509">
        <f t="shared" si="0"/>
        <v>0.6</v>
      </c>
      <c r="E22" s="335" t="s">
        <v>423</v>
      </c>
      <c r="F22" s="659" t="s">
        <v>610</v>
      </c>
      <c r="G22" s="1188"/>
    </row>
    <row r="23" spans="1:7">
      <c r="A23" s="280"/>
      <c r="B23" s="280"/>
      <c r="D23" s="280"/>
      <c r="E23" s="280" t="s">
        <v>280</v>
      </c>
      <c r="F23" s="280"/>
      <c r="G23" s="280"/>
    </row>
    <row r="24" spans="1:7" ht="18">
      <c r="A24" s="526" t="s">
        <v>202</v>
      </c>
      <c r="B24" s="734" cm="1">
        <f t="array" ref="B24">IFERROR(INDEX(Tb_Cpr2434[],MATCH(A24,Tb_Cpr2434[Parameter],0),HLOOKUP($E$10, 'Conversion data'!$AS$1:$AT$2,2,FALSE)+2),"-")</f>
        <v>0.03</v>
      </c>
      <c r="C24" s="59"/>
      <c r="D24" s="512">
        <f t="shared" ref="D24:D30" si="1">IF(ISBLANK(C24),B24,C24)</f>
        <v>0.03</v>
      </c>
      <c r="E24" s="581"/>
      <c r="F24" s="658" t="s">
        <v>281</v>
      </c>
      <c r="G24" s="1187" t="s">
        <v>611</v>
      </c>
    </row>
    <row r="25" spans="1:7" ht="18">
      <c r="A25" s="571" t="s">
        <v>206</v>
      </c>
      <c r="B25" s="735" cm="1">
        <f t="array" ref="B25">IFERROR(INDEX(Tb_Cpr2434[],MATCH(A25,Tb_Cpr2434[Parameter],0),HLOOKUP($E$10, 'Conversion data'!$AS$1:$AT$2,2,FALSE)+2),"-")</f>
        <v>10</v>
      </c>
      <c r="C25" s="97"/>
      <c r="D25" s="661">
        <f t="shared" si="1"/>
        <v>10</v>
      </c>
      <c r="E25" s="581" t="s">
        <v>207</v>
      </c>
      <c r="F25" s="722" t="s">
        <v>283</v>
      </c>
      <c r="G25" s="1189"/>
    </row>
    <row r="26" spans="1:7">
      <c r="A26" s="526" t="s">
        <v>211</v>
      </c>
      <c r="B26" s="734" cm="1">
        <f t="array" ref="B26">IFERROR((INDEX(Tb_Cpr2434[],MATCH(A26,Tb_Cpr2434[Parameter],0),HLOOKUP($E$10, 'Conversion data'!$AS$1:$AT$2,2,FALSE)+2)+1)/(1+'General values'!R9)-1,"-")</f>
        <v>6.1086139562302133E-2</v>
      </c>
      <c r="C26" s="59"/>
      <c r="D26" s="512">
        <f t="shared" si="1"/>
        <v>6.1086139562302133E-2</v>
      </c>
      <c r="E26" s="581"/>
      <c r="F26" s="658" t="s">
        <v>284</v>
      </c>
      <c r="G26" s="1189"/>
    </row>
    <row r="27" spans="1:7" ht="18">
      <c r="A27" s="526" t="s">
        <v>432</v>
      </c>
      <c r="B27" s="735" cm="1">
        <f t="array" ref="B27">IFERROR(INDEX(Tb_Cpr2434[],MATCH(A27,Tb_Cpr2434[Parameter],0),HLOOKUP($E$10, 'Conversion data'!$AS$1:$AT$2,2,FALSE)+2),"-")</f>
        <v>0.78359999999999996</v>
      </c>
      <c r="C27" s="57"/>
      <c r="D27" s="509">
        <f t="shared" si="1"/>
        <v>0.78359999999999996</v>
      </c>
      <c r="E27" s="335"/>
      <c r="F27" s="658" t="s">
        <v>612</v>
      </c>
      <c r="G27" s="1189"/>
    </row>
    <row r="28" spans="1:7" ht="18">
      <c r="A28" s="526" t="s">
        <v>437</v>
      </c>
      <c r="B28" s="735" cm="1">
        <f t="array" ref="B28">IFERROR(INDEX(Tb_Cpr2434[],MATCH(A28,Tb_Cpr2434[Parameter],0),HLOOKUP($E$10, 'Conversion data'!$AS$1:$AT$2,2,FALSE)+2),"-")</f>
        <v>16371</v>
      </c>
      <c r="C28" s="57"/>
      <c r="D28" s="509">
        <f t="shared" si="1"/>
        <v>16371</v>
      </c>
      <c r="E28" s="335" t="s">
        <v>438</v>
      </c>
      <c r="F28" s="658"/>
      <c r="G28" s="1189"/>
    </row>
    <row r="29" spans="1:7" ht="18">
      <c r="A29" s="526" t="s">
        <v>444</v>
      </c>
      <c r="B29" s="735" cm="1">
        <f t="array" ref="B29">IFERROR(INDEX(Tb_Cpr2434[],MATCH(A29,Tb_Cpr2434[Parameter],0),HLOOKUP($E$10, 'Conversion data'!$AS$1:$AT$2,2,FALSE)+2),"-")</f>
        <v>1</v>
      </c>
      <c r="C29" s="57"/>
      <c r="D29" s="509">
        <f t="shared" si="1"/>
        <v>1</v>
      </c>
      <c r="E29" s="335" t="s">
        <v>443</v>
      </c>
      <c r="F29" s="658"/>
      <c r="G29" s="1189"/>
    </row>
    <row r="30" spans="1:7">
      <c r="A30" s="526" t="s">
        <v>296</v>
      </c>
      <c r="B30" s="816">
        <f>(1.3*(D28*((D21/D29)^D27)))*(10^-6)</f>
        <v>0.18809873438525518</v>
      </c>
      <c r="C30" s="57"/>
      <c r="D30" s="599">
        <f t="shared" si="1"/>
        <v>0.18809873438525518</v>
      </c>
      <c r="E30" s="415" t="s">
        <v>292</v>
      </c>
      <c r="F30" s="659"/>
      <c r="G30" s="1188"/>
    </row>
    <row r="31" spans="1:7" ht="17" thickBot="1"/>
    <row r="32" spans="1:7" ht="17" thickBot="1">
      <c r="A32" s="995" t="s">
        <v>297</v>
      </c>
      <c r="B32" s="996"/>
      <c r="C32" s="996"/>
      <c r="D32" s="996"/>
      <c r="E32" s="996"/>
      <c r="F32" s="996"/>
      <c r="G32" s="997"/>
    </row>
    <row r="33" spans="1:7">
      <c r="A33" s="280"/>
      <c r="B33" s="280"/>
      <c r="C33" s="280"/>
      <c r="D33" s="280"/>
      <c r="E33" s="280"/>
      <c r="F33" s="280"/>
      <c r="G33" s="280"/>
    </row>
    <row r="34" spans="1:7" ht="18">
      <c r="A34" s="1172" t="s">
        <v>520</v>
      </c>
      <c r="B34" s="1173"/>
      <c r="C34" s="1173"/>
      <c r="D34" s="414">
        <f>(D22*(D21*(1000/24))*D19*8760)/1000</f>
        <v>3356.4877499999993</v>
      </c>
      <c r="E34" s="415" t="s">
        <v>521</v>
      </c>
      <c r="F34" s="280"/>
      <c r="G34" s="280"/>
    </row>
    <row r="35" spans="1:7" ht="18">
      <c r="A35" s="1172" t="s">
        <v>613</v>
      </c>
      <c r="B35" s="1173"/>
      <c r="C35" s="1173"/>
      <c r="D35" s="601">
        <f>D19*365*D21*(1-D18)</f>
        <v>5594.1462499999998</v>
      </c>
      <c r="E35" s="415" t="s">
        <v>614</v>
      </c>
      <c r="F35" s="280"/>
      <c r="G35" s="280"/>
    </row>
    <row r="36" spans="1:7" ht="17" thickBot="1">
      <c r="A36" s="280"/>
      <c r="B36" s="280"/>
      <c r="C36" s="280"/>
      <c r="D36" s="280"/>
      <c r="E36" s="280"/>
      <c r="F36" s="280"/>
      <c r="G36" s="280"/>
    </row>
    <row r="37" spans="1:7" ht="19" thickBot="1">
      <c r="A37" s="1074" t="s">
        <v>615</v>
      </c>
      <c r="B37" s="1075"/>
      <c r="C37" s="1075"/>
      <c r="D37" s="602">
        <f>SUM('CFA Regasification'!J4:J42)*10^6/(SUM('CFA Regasification'!L4:L42)*1000)</f>
        <v>7.1600716180269017E-2</v>
      </c>
      <c r="E37" s="419" t="s">
        <v>75</v>
      </c>
      <c r="F37" s="280"/>
      <c r="G37" s="280"/>
    </row>
    <row r="38" spans="1:7">
      <c r="A38" s="1071" t="s">
        <v>321</v>
      </c>
      <c r="B38" s="1072"/>
      <c r="C38" s="1072"/>
      <c r="D38" s="1072"/>
      <c r="E38" s="1073"/>
      <c r="F38" s="280"/>
      <c r="G38" s="280"/>
    </row>
    <row r="39" spans="1:7" ht="18">
      <c r="A39" s="1067" t="s">
        <v>616</v>
      </c>
      <c r="B39" s="1068"/>
      <c r="C39" s="1068"/>
      <c r="D39" s="795">
        <f>D37-D40</f>
        <v>5.6007161802690414E-3</v>
      </c>
      <c r="E39" s="421" t="s">
        <v>75</v>
      </c>
      <c r="F39" s="280"/>
      <c r="G39" s="280"/>
    </row>
    <row r="40" spans="1:7" ht="19" thickBot="1">
      <c r="A40" s="1069" t="s">
        <v>526</v>
      </c>
      <c r="B40" s="1070"/>
      <c r="C40" s="1070"/>
      <c r="D40" s="796">
        <f>SUM('CFA Regasification'!I4:I42)*10^6/(SUM('CFA Regasification'!L4:L42)*1000)</f>
        <v>6.5999999999999975E-2</v>
      </c>
      <c r="E40" s="423" t="s">
        <v>75</v>
      </c>
      <c r="F40" s="280"/>
      <c r="G40" s="280"/>
    </row>
    <row r="41" spans="1:7">
      <c r="A41" s="280"/>
      <c r="B41" s="280"/>
      <c r="C41" s="280"/>
      <c r="D41" s="280"/>
      <c r="E41" s="280"/>
      <c r="F41" s="280"/>
      <c r="G41" s="280"/>
    </row>
    <row r="50" ht="15.75" customHeight="1"/>
    <row r="52" ht="18" customHeight="1"/>
    <row r="59" ht="16" customHeight="1"/>
  </sheetData>
  <sheetProtection algorithmName="SHA-512" hashValue="qSaytefjikxkaKrIDuVeItNeib7steEYGe+lkokhipDA/2TNhJ4Ua0pdMJcXEZcPHP3E6H/jRed908ndM5mNnw==" saltValue="0uI1aK/90WqFEOF8SEnMTw==" spinCount="100000" sheet="1" objects="1" scenarios="1"/>
  <mergeCells count="21">
    <mergeCell ref="A35:C35"/>
    <mergeCell ref="A37:C37"/>
    <mergeCell ref="A38:E38"/>
    <mergeCell ref="A39:C39"/>
    <mergeCell ref="A40:C40"/>
    <mergeCell ref="A34:C34"/>
    <mergeCell ref="A12:D12"/>
    <mergeCell ref="E12:G12"/>
    <mergeCell ref="A14:G14"/>
    <mergeCell ref="G24:G30"/>
    <mergeCell ref="A32:G32"/>
    <mergeCell ref="G21:G22"/>
    <mergeCell ref="G18:G19"/>
    <mergeCell ref="J3:J5"/>
    <mergeCell ref="A10:D10"/>
    <mergeCell ref="E10:G10"/>
    <mergeCell ref="A3:G4"/>
    <mergeCell ref="A5:D6"/>
    <mergeCell ref="E5:G6"/>
    <mergeCell ref="A8:D8"/>
    <mergeCell ref="E8:G8"/>
  </mergeCells>
  <hyperlinks>
    <hyperlink ref="A1" location="HOME!A1" display="HOME" xr:uid="{576FBC56-4B39-A243-B97B-D0A1559F7CF2}"/>
  </hyperlinks>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55FF-2B96-4C6F-8DC3-65B35B999023}">
  <sheetPr>
    <tabColor theme="7" tint="0.79998168889431442"/>
  </sheetPr>
  <dimension ref="A1:N43"/>
  <sheetViews>
    <sheetView zoomScale="60" zoomScaleNormal="60" workbookViewId="0">
      <selection activeCell="B2" sqref="B2:L42"/>
    </sheetView>
  </sheetViews>
  <sheetFormatPr baseColWidth="10" defaultColWidth="8.83203125" defaultRowHeight="16"/>
  <cols>
    <col min="1" max="3" width="10.83203125" style="31" customWidth="1"/>
    <col min="4" max="4" width="16" style="31" bestFit="1" customWidth="1"/>
    <col min="5" max="21" width="10.83203125" style="31" customWidth="1"/>
    <col min="22" max="16384" width="8.83203125" style="31"/>
  </cols>
  <sheetData>
    <row r="1" spans="1:14" ht="17" thickBot="1">
      <c r="A1" s="151" t="s">
        <v>234</v>
      </c>
    </row>
    <row r="2" spans="1:14" ht="18" thickTop="1">
      <c r="B2" s="73"/>
      <c r="C2" s="74"/>
      <c r="D2" s="75" t="s">
        <v>527</v>
      </c>
      <c r="E2" s="76" t="s">
        <v>528</v>
      </c>
      <c r="F2" s="77" t="s">
        <v>528</v>
      </c>
      <c r="G2" s="76" t="s">
        <v>528</v>
      </c>
      <c r="H2" s="78" t="s">
        <v>528</v>
      </c>
      <c r="I2" s="79" t="s">
        <v>528</v>
      </c>
      <c r="J2" s="79" t="s">
        <v>528</v>
      </c>
      <c r="K2" s="80" t="s">
        <v>529</v>
      </c>
      <c r="L2" s="81" t="s">
        <v>617</v>
      </c>
    </row>
    <row r="3" spans="1:14" ht="34">
      <c r="B3" s="82" t="s">
        <v>530</v>
      </c>
      <c r="C3" s="83" t="s">
        <v>531</v>
      </c>
      <c r="D3" s="98" t="s">
        <v>532</v>
      </c>
      <c r="E3" s="99" t="s">
        <v>533</v>
      </c>
      <c r="F3" s="100" t="s">
        <v>534</v>
      </c>
      <c r="G3" s="99" t="s">
        <v>535</v>
      </c>
      <c r="H3" s="101" t="s">
        <v>536</v>
      </c>
      <c r="I3" s="105" t="s">
        <v>537</v>
      </c>
      <c r="J3" s="102" t="s">
        <v>538</v>
      </c>
      <c r="K3" s="103" t="s">
        <v>618</v>
      </c>
      <c r="L3" s="104" t="s">
        <v>619</v>
      </c>
    </row>
    <row r="4" spans="1:14">
      <c r="B4" s="84">
        <v>2022</v>
      </c>
      <c r="C4" s="85">
        <f>IF(B4=HOME!$A$9,B4-HOME!$A$9,IF(B4&lt;HOME!$A$9,"",IF(B4&gt;HOME!$A$9+Regasification!$D$25,"",B4-HOME!$A$9)))</f>
        <v>0</v>
      </c>
      <c r="D4" s="86" t="str" cm="1">
        <f t="array" ref="D4">IF(B4=HOME!$A$9,"",IF(B4&lt;HOME!$A$9,"",IF(B4&gt;Regasification!$D$25+HOME!$A$9,"",INDEX(Tb_Fuel[],MATCH(B4,Tb_Fuel[Year],0),HLOOKUP(Regasification!$E$12&amp;" - Grid",'Fuel Data'!$BB$2:$BX$3,2,FALSE)+1))))</f>
        <v/>
      </c>
      <c r="E4" s="86">
        <f>IF(B4=HOME!$A$9,Regasification!$D$30,IF(B4&lt;HOME!$A$9,"",IF(B4&gt;Regasification!$D$25+HOME!$A$9,"",0)))</f>
        <v>0.18809873438525518</v>
      </c>
      <c r="F4" s="86">
        <f>IF(B4=HOME!$A$9,0,IF(B4&lt;HOME!$A$9,"",IF(B4&gt;Regasification!$D$25+HOME!$A$9,"",Regasification!$D$30*Regasification!$D$24)))</f>
        <v>0</v>
      </c>
      <c r="G4" s="86">
        <f>IF(B4=HOME!$A$9,0,IF(B4&lt;HOME!$A$9,"",IF(B4&gt;Regasification!$D$25+HOME!$A$9,"",D4/10^6*Regasification!$D$34*1000)))</f>
        <v>0</v>
      </c>
      <c r="H4" s="87">
        <f>IF(B4=HOME!$A$9,SUM(E4:G4),IF(B4&lt;HOME!$A$9,"",IF(B4&gt;Regasification!$D$25+HOME!$A$9,"",SUM(E4:G4))))</f>
        <v>0.18809873438525518</v>
      </c>
      <c r="I4" s="86">
        <f>IF(B4=HOME!$A$9,G4/(1+Regasification!$D$26)^C4,IF(B4&lt;HOME!$A$9,"",IF(B4&gt;Regasification!$D$25+HOME!$A$9,"",G4/(1+Regasification!$D$26)^C4)))</f>
        <v>0</v>
      </c>
      <c r="J4" s="86">
        <f>IF(B4=HOME!$A$9,H4/(1+Regasification!$D$26)^C4,IF(B4&lt;HOME!$A$9,"",IF(B4&gt;Regasification!$D$25+HOME!$A$9,"",H4/(1+Regasification!$D$26)^C4)))</f>
        <v>0.18809873438525518</v>
      </c>
      <c r="K4" s="127">
        <f>IF(B4=HOME!$A$9,0,IF(B4&lt;HOME!$A$9,"",IF(B4&gt;Regasification!$D$25+HOME!$A$9,"",Regasification!$D$35)))</f>
        <v>0</v>
      </c>
      <c r="L4" s="120">
        <f>IF(B4=HOME!$A$9,K4/(1+Regasification!$D$26)^C4,IF(B4&lt;HOME!$A$9,"",IF(B4&gt;Regasification!$D$25+HOME!$A$9,"",K4/(1+Regasification!$D$26)^C4)))</f>
        <v>0</v>
      </c>
      <c r="N4" s="88"/>
    </row>
    <row r="5" spans="1:14">
      <c r="B5" s="89">
        <v>2023</v>
      </c>
      <c r="C5" s="90">
        <f>IF(B5=HOME!$A$9,B5-HOME!$A$9,IF(B5&lt;HOME!$A$9,"",IF(B5&gt;HOME!$A$9+Regasification!$D$25,"",B5-HOME!$A$9)))</f>
        <v>1</v>
      </c>
      <c r="D5" s="91" cm="1">
        <f t="array" ref="D5">IF(B5=HOME!$A$9,"",IF(B5&lt;HOME!$A$9,"",IF(B5&gt;Regasification!$D$25+HOME!$A$9,"",INDEX(Tb_Fuel[],MATCH(B5,Tb_Fuel[Year],0),HLOOKUP(Regasification!$E$12&amp;" - Grid",'Fuel Data'!$BB$2:$BX$3,2,FALSE)+1))))</f>
        <v>0.11</v>
      </c>
      <c r="E5" s="91">
        <f>IF(B5=HOME!$A$9,Regasification!$D$30,IF(B5&lt;HOME!$A$9,"",IF(B5&gt;Regasification!$D$25+HOME!$A$9,"",0)))</f>
        <v>0</v>
      </c>
      <c r="F5" s="91">
        <f>IF(B5=HOME!$A$9,0,IF(B5&lt;HOME!$A$9,"",IF(B5&gt;Regasification!$D$25+HOME!$A$9,"",Regasification!$D$30*Regasification!$D$24)))</f>
        <v>5.6429620315576554E-3</v>
      </c>
      <c r="G5" s="91">
        <f>IF(B5=HOME!$A$9,0,IF(B5&lt;HOME!$A$9,"",IF(B5&gt;Regasification!$D$25+HOME!$A$9,"",D5/10^6*Regasification!$D$34*1000)))</f>
        <v>0.36921365249999993</v>
      </c>
      <c r="H5" s="92">
        <f>IF(B5=HOME!$A$9,SUM(E5:G5),IF(B5&lt;HOME!$A$9,"",IF(B5&gt;Regasification!$D$25+HOME!$A$9,"",SUM(E5:G5))))</f>
        <v>0.37485661453155761</v>
      </c>
      <c r="I5" s="91">
        <f>IF(B5=HOME!$A$9,G5/(1+Regasification!$D$26)^C5,IF(B5&lt;HOME!$A$9,"",IF(B5&gt;Regasification!$D$25+HOME!$A$9,"",G5/(1+Regasification!$D$26)^C5)))</f>
        <v>0.3479582276442707</v>
      </c>
      <c r="J5" s="91">
        <f>IF(B5=HOME!$A$9,H5/(1+Regasification!$D$26)^C5,IF(B5&lt;HOME!$A$9,"",IF(B5&gt;Regasification!$D$25+HOME!$A$9,"",H5/(1+Regasification!$D$26)^C5)))</f>
        <v>0.3532763274866505</v>
      </c>
      <c r="K5" s="128">
        <f>IF(B5=HOME!$A$9,0,IF(B5&lt;HOME!$A$9,"",IF(B5&gt;Regasification!$D$25+HOME!$A$9,"",Regasification!$D$35)))</f>
        <v>5594.1462499999998</v>
      </c>
      <c r="L5" s="121">
        <f>IF(B5=HOME!$A$9,K5/(1+Regasification!$D$26)^C5,IF(B5&lt;HOME!$A$9,"",IF(B5&gt;Regasification!$D$25+HOME!$A$9,"",K5/(1+Regasification!$D$26)^C5)))</f>
        <v>5272.094358246527</v>
      </c>
      <c r="N5" s="88"/>
    </row>
    <row r="6" spans="1:14">
      <c r="B6" s="89">
        <v>2024</v>
      </c>
      <c r="C6" s="90">
        <f>IF(B6=HOME!$A$9,B6-HOME!$A$9,IF(B6&lt;HOME!$A$9,"",IF(B6&gt;HOME!$A$9+Regasification!$D$25,"",B6-HOME!$A$9)))</f>
        <v>2</v>
      </c>
      <c r="D6" s="91" cm="1">
        <f t="array" ref="D6">IF(B6=HOME!$A$9,"",IF(B6&lt;HOME!$A$9,"",IF(B6&gt;Regasification!$D$25+HOME!$A$9,"",INDEX(Tb_Fuel[],MATCH(B6,Tb_Fuel[Year],0),HLOOKUP(Regasification!$E$12&amp;" - Grid",'Fuel Data'!$BB$2:$BX$3,2,FALSE)+1))))</f>
        <v>0.11</v>
      </c>
      <c r="E6" s="91">
        <f>IF(B6=HOME!$A$9,Regasification!$D$30,IF(B6&lt;HOME!$A$9,"",IF(B6&gt;Regasification!$D$25+HOME!$A$9,"",0)))</f>
        <v>0</v>
      </c>
      <c r="F6" s="91">
        <f>IF(B6=HOME!$A$9,0,IF(B6&lt;HOME!$A$9,"",IF(B6&gt;Regasification!$D$25+HOME!$A$9,"",Regasification!$D$30*Regasification!$D$24)))</f>
        <v>5.6429620315576554E-3</v>
      </c>
      <c r="G6" s="91">
        <f>IF(B6=HOME!$A$9,0,IF(B6&lt;HOME!$A$9,"",IF(B6&gt;Regasification!$D$25+HOME!$A$9,"",D6/10^6*Regasification!$D$34*1000)))</f>
        <v>0.36921365249999993</v>
      </c>
      <c r="H6" s="92">
        <f>IF(B6=HOME!$A$9,SUM(E6:G6),IF(B6&lt;HOME!$A$9,"",IF(B6&gt;Regasification!$D$25+HOME!$A$9,"",SUM(E6:G6))))</f>
        <v>0.37485661453155761</v>
      </c>
      <c r="I6" s="91">
        <f>IF(B6=HOME!$A$9,G6/(1+Regasification!$D$26)^C6,IF(B6&lt;HOME!$A$9,"",IF(B6&gt;Regasification!$D$25+HOME!$A$9,"",G6/(1+Regasification!$D$26)^C6)))</f>
        <v>0.32792646578891649</v>
      </c>
      <c r="J6" s="91">
        <f>IF(B6=HOME!$A$9,H6/(1+Regasification!$D$26)^C6,IF(B6&lt;HOME!$A$9,"",IF(B6&gt;Regasification!$D$25+HOME!$A$9,"",H6/(1+Regasification!$D$26)^C6)))</f>
        <v>0.33293840557787041</v>
      </c>
      <c r="K6" s="128">
        <f>IF(B6=HOME!$A$9,0,IF(B6&lt;HOME!$A$9,"",IF(B6&gt;Regasification!$D$25+HOME!$A$9,"",Regasification!$D$35)))</f>
        <v>5594.1462499999998</v>
      </c>
      <c r="L6" s="121">
        <f>IF(B6=HOME!$A$9,K6/(1+Regasification!$D$26)^C6,IF(B6&lt;HOME!$A$9,"",IF(B6&gt;Regasification!$D$25+HOME!$A$9,"",K6/(1+Regasification!$D$26)^C6)))</f>
        <v>4968.5828149835843</v>
      </c>
      <c r="N6" s="88"/>
    </row>
    <row r="7" spans="1:14">
      <c r="B7" s="89">
        <v>2025</v>
      </c>
      <c r="C7" s="90">
        <f>IF(B7=HOME!$A$9,B7-HOME!$A$9,IF(B7&lt;HOME!$A$9,"",IF(B7&gt;HOME!$A$9+Regasification!$D$25,"",B7-HOME!$A$9)))</f>
        <v>3</v>
      </c>
      <c r="D7" s="91" cm="1">
        <f t="array" ref="D7">IF(B7=HOME!$A$9,"",IF(B7&lt;HOME!$A$9,"",IF(B7&gt;Regasification!$D$25+HOME!$A$9,"",INDEX(Tb_Fuel[],MATCH(B7,Tb_Fuel[Year],0),HLOOKUP(Regasification!$E$12&amp;" - Grid",'Fuel Data'!$BB$2:$BX$3,2,FALSE)+1))))</f>
        <v>0.11</v>
      </c>
      <c r="E7" s="91">
        <f>IF(B7=HOME!$A$9,Regasification!$D$30,IF(B7&lt;HOME!$A$9,"",IF(B7&gt;Regasification!$D$25+HOME!$A$9,"",0)))</f>
        <v>0</v>
      </c>
      <c r="F7" s="91">
        <f>IF(B7=HOME!$A$9,0,IF(B7&lt;HOME!$A$9,"",IF(B7&gt;Regasification!$D$25+HOME!$A$9,"",Regasification!$D$30*Regasification!$D$24)))</f>
        <v>5.6429620315576554E-3</v>
      </c>
      <c r="G7" s="91">
        <f>IF(B7=HOME!$A$9,0,IF(B7&lt;HOME!$A$9,"",IF(B7&gt;Regasification!$D$25+HOME!$A$9,"",D7/10^6*Regasification!$D$34*1000)))</f>
        <v>0.36921365249999993</v>
      </c>
      <c r="H7" s="92">
        <f>IF(B7=HOME!$A$9,SUM(E7:G7),IF(B7&lt;HOME!$A$9,"",IF(B7&gt;Regasification!$D$25+HOME!$A$9,"",SUM(E7:G7))))</f>
        <v>0.37485661453155761</v>
      </c>
      <c r="I7" s="91">
        <f>IF(B7=HOME!$A$9,G7/(1+Regasification!$D$26)^C7,IF(B7&lt;HOME!$A$9,"",IF(B7&gt;Regasification!$D$25+HOME!$A$9,"",G7/(1+Regasification!$D$26)^C7)))</f>
        <v>0.30904792133481845</v>
      </c>
      <c r="J7" s="91">
        <f>IF(B7=HOME!$A$9,H7/(1+Regasification!$D$26)^C7,IF(B7&lt;HOME!$A$9,"",IF(B7&gt;Regasification!$D$25+HOME!$A$9,"",H7/(1+Regasification!$D$26)^C7)))</f>
        <v>0.31377132653453327</v>
      </c>
      <c r="K7" s="128">
        <f>IF(B7=HOME!$A$9,0,IF(B7&lt;HOME!$A$9,"",IF(B7&gt;Regasification!$D$25+HOME!$A$9,"",Regasification!$D$35)))</f>
        <v>5594.1462499999998</v>
      </c>
      <c r="L7" s="121">
        <f>IF(B7=HOME!$A$9,K7/(1+Regasification!$D$26)^C7,IF(B7&lt;HOME!$A$9,"",IF(B7&gt;Regasification!$D$25+HOME!$A$9,"",K7/(1+Regasification!$D$26)^C7)))</f>
        <v>4682.5442626487647</v>
      </c>
      <c r="N7" s="88"/>
    </row>
    <row r="8" spans="1:14">
      <c r="B8" s="89">
        <v>2026</v>
      </c>
      <c r="C8" s="90">
        <f>IF(B8=HOME!$A$9,B8-HOME!$A$9,IF(B8&lt;HOME!$A$9,"",IF(B8&gt;HOME!$A$9+Regasification!$D$25,"",B8-HOME!$A$9)))</f>
        <v>4</v>
      </c>
      <c r="D8" s="91" cm="1">
        <f t="array" ref="D8">IF(B8=HOME!$A$9,"",IF(B8&lt;HOME!$A$9,"",IF(B8&gt;Regasification!$D$25+HOME!$A$9,"",INDEX(Tb_Fuel[],MATCH(B8,Tb_Fuel[Year],0),HLOOKUP(Regasification!$E$12&amp;" - Grid",'Fuel Data'!$BB$2:$BX$3,2,FALSE)+1))))</f>
        <v>0.11</v>
      </c>
      <c r="E8" s="91">
        <f>IF(B8=HOME!$A$9,Regasification!$D$30,IF(B8&lt;HOME!$A$9,"",IF(B8&gt;Regasification!$D$25+HOME!$A$9,"",0)))</f>
        <v>0</v>
      </c>
      <c r="F8" s="91">
        <f>IF(B8=HOME!$A$9,0,IF(B8&lt;HOME!$A$9,"",IF(B8&gt;Regasification!$D$25+HOME!$A$9,"",Regasification!$D$30*Regasification!$D$24)))</f>
        <v>5.6429620315576554E-3</v>
      </c>
      <c r="G8" s="91">
        <f>IF(B8=HOME!$A$9,0,IF(B8&lt;HOME!$A$9,"",IF(B8&gt;Regasification!$D$25+HOME!$A$9,"",D8/10^6*Regasification!$D$34*1000)))</f>
        <v>0.36921365249999993</v>
      </c>
      <c r="H8" s="92">
        <f>IF(B8=HOME!$A$9,SUM(E8:G8),IF(B8&lt;HOME!$A$9,"",IF(B8&gt;Regasification!$D$25+HOME!$A$9,"",SUM(E8:G8))))</f>
        <v>0.37485661453155761</v>
      </c>
      <c r="I8" s="91">
        <f>IF(B8=HOME!$A$9,G8/(1+Regasification!$D$26)^C8,IF(B8&lt;HOME!$A$9,"",IF(B8&gt;Regasification!$D$25+HOME!$A$9,"",G8/(1+Regasification!$D$26)^C8)))</f>
        <v>0.29125620419686254</v>
      </c>
      <c r="J8" s="91">
        <f>IF(B8=HOME!$A$9,H8/(1+Regasification!$D$26)^C8,IF(B8&lt;HOME!$A$9,"",IF(B8&gt;Regasification!$D$25+HOME!$A$9,"",H8/(1+Regasification!$D$26)^C8)))</f>
        <v>0.29570768558334376</v>
      </c>
      <c r="K8" s="128">
        <f>IF(B8=HOME!$A$9,0,IF(B8&lt;HOME!$A$9,"",IF(B8&gt;Regasification!$D$25+HOME!$A$9,"",Regasification!$D$35)))</f>
        <v>5594.1462499999998</v>
      </c>
      <c r="L8" s="121">
        <f>IF(B8=HOME!$A$9,K8/(1+Regasification!$D$26)^C8,IF(B8&lt;HOME!$A$9,"",IF(B8&gt;Regasification!$D$25+HOME!$A$9,"",K8/(1+Regasification!$D$26)^C8)))</f>
        <v>4412.9727908615541</v>
      </c>
      <c r="N8" s="88"/>
    </row>
    <row r="9" spans="1:14">
      <c r="B9" s="89">
        <v>2027</v>
      </c>
      <c r="C9" s="90">
        <f>IF(B9=HOME!$A$9,B9-HOME!$A$9,IF(B9&lt;HOME!$A$9,"",IF(B9&gt;HOME!$A$9+Regasification!$D$25,"",B9-HOME!$A$9)))</f>
        <v>5</v>
      </c>
      <c r="D9" s="91" cm="1">
        <f t="array" ref="D9">IF(B9=HOME!$A$9,"",IF(B9&lt;HOME!$A$9,"",IF(B9&gt;Regasification!$D$25+HOME!$A$9,"",INDEX(Tb_Fuel[],MATCH(B9,Tb_Fuel[Year],0),HLOOKUP(Regasification!$E$12&amp;" - Grid",'Fuel Data'!$BB$2:$BX$3,2,FALSE)+1))))</f>
        <v>0.11</v>
      </c>
      <c r="E9" s="91">
        <f>IF(B9=HOME!$A$9,Regasification!$D$30,IF(B9&lt;HOME!$A$9,"",IF(B9&gt;Regasification!$D$25+HOME!$A$9,"",0)))</f>
        <v>0</v>
      </c>
      <c r="F9" s="91">
        <f>IF(B9=HOME!$A$9,0,IF(B9&lt;HOME!$A$9,"",IF(B9&gt;Regasification!$D$25+HOME!$A$9,"",Regasification!$D$30*Regasification!$D$24)))</f>
        <v>5.6429620315576554E-3</v>
      </c>
      <c r="G9" s="91">
        <f>IF(B9=HOME!$A$9,0,IF(B9&lt;HOME!$A$9,"",IF(B9&gt;Regasification!$D$25+HOME!$A$9,"",D9/10^6*Regasification!$D$34*1000)))</f>
        <v>0.36921365249999993</v>
      </c>
      <c r="H9" s="92">
        <f>IF(B9=HOME!$A$9,SUM(E9:G9),IF(B9&lt;HOME!$A$9,"",IF(B9&gt;Regasification!$D$25+HOME!$A$9,"",SUM(E9:G9))))</f>
        <v>0.37485661453155761</v>
      </c>
      <c r="I9" s="91">
        <f>IF(B9=HOME!$A$9,G9/(1+Regasification!$D$26)^C9,IF(B9&lt;HOME!$A$9,"",IF(B9&gt;Regasification!$D$25+HOME!$A$9,"",G9/(1+Regasification!$D$26)^C9)))</f>
        <v>0.27448874633025144</v>
      </c>
      <c r="J9" s="91">
        <f>IF(B9=HOME!$A$9,H9/(1+Regasification!$D$26)^C9,IF(B9&lt;HOME!$A$9,"",IF(B9&gt;Regasification!$D$25+HOME!$A$9,"",H9/(1+Regasification!$D$26)^C9)))</f>
        <v>0.27868395840635818</v>
      </c>
      <c r="K9" s="128">
        <f>IF(B9=HOME!$A$9,0,IF(B9&lt;HOME!$A$9,"",IF(B9&gt;Regasification!$D$25+HOME!$A$9,"",Regasification!$D$35)))</f>
        <v>5594.1462499999998</v>
      </c>
      <c r="L9" s="121">
        <f>IF(B9=HOME!$A$9,K9/(1+Regasification!$D$26)^C9,IF(B9&lt;HOME!$A$9,"",IF(B9&gt;Regasification!$D$25+HOME!$A$9,"",K9/(1+Regasification!$D$26)^C9)))</f>
        <v>4158.9203989432044</v>
      </c>
      <c r="N9" s="88"/>
    </row>
    <row r="10" spans="1:14">
      <c r="B10" s="89">
        <v>2028</v>
      </c>
      <c r="C10" s="90">
        <f>IF(B10=HOME!$A$9,B10-HOME!$A$9,IF(B10&lt;HOME!$A$9,"",IF(B10&gt;HOME!$A$9+Regasification!$D$25,"",B10-HOME!$A$9)))</f>
        <v>6</v>
      </c>
      <c r="D10" s="91" cm="1">
        <f t="array" ref="D10">IF(B10=HOME!$A$9,"",IF(B10&lt;HOME!$A$9,"",IF(B10&gt;Regasification!$D$25+HOME!$A$9,"",INDEX(Tb_Fuel[],MATCH(B10,Tb_Fuel[Year],0),HLOOKUP(Regasification!$E$12&amp;" - Grid",'Fuel Data'!$BB$2:$BX$3,2,FALSE)+1))))</f>
        <v>0.11</v>
      </c>
      <c r="E10" s="91">
        <f>IF(B10=HOME!$A$9,Regasification!$D$30,IF(B10&lt;HOME!$A$9,"",IF(B10&gt;Regasification!$D$25+HOME!$A$9,"",0)))</f>
        <v>0</v>
      </c>
      <c r="F10" s="91">
        <f>IF(B10=HOME!$A$9,0,IF(B10&lt;HOME!$A$9,"",IF(B10&gt;Regasification!$D$25+HOME!$A$9,"",Regasification!$D$30*Regasification!$D$24)))</f>
        <v>5.6429620315576554E-3</v>
      </c>
      <c r="G10" s="91">
        <f>IF(B10=HOME!$A$9,0,IF(B10&lt;HOME!$A$9,"",IF(B10&gt;Regasification!$D$25+HOME!$A$9,"",D10/10^6*Regasification!$D$34*1000)))</f>
        <v>0.36921365249999993</v>
      </c>
      <c r="H10" s="92">
        <f>IF(B10=HOME!$A$9,SUM(E10:G10),IF(B10&lt;HOME!$A$9,"",IF(B10&gt;Regasification!$D$25+HOME!$A$9,"",SUM(E10:G10))))</f>
        <v>0.37485661453155761</v>
      </c>
      <c r="I10" s="91">
        <f>IF(B10=HOME!$A$9,G10/(1+Regasification!$D$26)^C10,IF(B10&lt;HOME!$A$9,"",IF(B10&gt;Regasification!$D$25+HOME!$A$9,"",G10/(1+Regasification!$D$26)^C10)))</f>
        <v>0.25868658169776682</v>
      </c>
      <c r="J10" s="91">
        <f>IF(B10=HOME!$A$9,H10/(1+Regasification!$D$26)^C10,IF(B10&lt;HOME!$A$9,"",IF(B10&gt;Regasification!$D$25+HOME!$A$9,"",H10/(1+Regasification!$D$26)^C10)))</f>
        <v>0.26264027774532545</v>
      </c>
      <c r="K10" s="128">
        <f>IF(B10=HOME!$A$9,0,IF(B10&lt;HOME!$A$9,"",IF(B10&gt;Regasification!$D$25+HOME!$A$9,"",Regasification!$D$35)))</f>
        <v>5594.1462499999998</v>
      </c>
      <c r="L10" s="121">
        <f>IF(B10=HOME!$A$9,K10/(1+Regasification!$D$26)^C10,IF(B10&lt;HOME!$A$9,"",IF(B10&gt;Regasification!$D$25+HOME!$A$9,"",K10/(1+Regasification!$D$26)^C10)))</f>
        <v>3919.4936620873764</v>
      </c>
      <c r="N10" s="88"/>
    </row>
    <row r="11" spans="1:14">
      <c r="B11" s="89">
        <v>2029</v>
      </c>
      <c r="C11" s="90">
        <f>IF(B11=HOME!$A$9,B11-HOME!$A$9,IF(B11&lt;HOME!$A$9,"",IF(B11&gt;HOME!$A$9+Regasification!$D$25,"",B11-HOME!$A$9)))</f>
        <v>7</v>
      </c>
      <c r="D11" s="91" cm="1">
        <f t="array" ref="D11">IF(B11=HOME!$A$9,"",IF(B11&lt;HOME!$A$9,"",IF(B11&gt;Regasification!$D$25+HOME!$A$9,"",INDEX(Tb_Fuel[],MATCH(B11,Tb_Fuel[Year],0),HLOOKUP(Regasification!$E$12&amp;" - Grid",'Fuel Data'!$BB$2:$BX$3,2,FALSE)+1))))</f>
        <v>0.11</v>
      </c>
      <c r="E11" s="91">
        <f>IF(B11=HOME!$A$9,Regasification!$D$30,IF(B11&lt;HOME!$A$9,"",IF(B11&gt;Regasification!$D$25+HOME!$A$9,"",0)))</f>
        <v>0</v>
      </c>
      <c r="F11" s="91">
        <f>IF(B11=HOME!$A$9,0,IF(B11&lt;HOME!$A$9,"",IF(B11&gt;Regasification!$D$25+HOME!$A$9,"",Regasification!$D$30*Regasification!$D$24)))</f>
        <v>5.6429620315576554E-3</v>
      </c>
      <c r="G11" s="91">
        <f>IF(B11=HOME!$A$9,0,IF(B11&lt;HOME!$A$9,"",IF(B11&gt;Regasification!$D$25+HOME!$A$9,"",D11/10^6*Regasification!$D$34*1000)))</f>
        <v>0.36921365249999993</v>
      </c>
      <c r="H11" s="92">
        <f>IF(B11=HOME!$A$9,SUM(E11:G11),IF(B11&lt;HOME!$A$9,"",IF(B11&gt;Regasification!$D$25+HOME!$A$9,"",SUM(E11:G11))))</f>
        <v>0.37485661453155761</v>
      </c>
      <c r="I11" s="91">
        <f>IF(B11=HOME!$A$9,G11/(1+Regasification!$D$26)^C11,IF(B11&lt;HOME!$A$9,"",IF(B11&gt;Regasification!$D$25+HOME!$A$9,"",G11/(1+Regasification!$D$26)^C11)))</f>
        <v>0.24379413890419399</v>
      </c>
      <c r="J11" s="91">
        <f>IF(B11=HOME!$A$9,H11/(1+Regasification!$D$26)^C11,IF(B11&lt;HOME!$A$9,"",IF(B11&gt;Regasification!$D$25+HOME!$A$9,"",H11/(1+Regasification!$D$26)^C11)))</f>
        <v>0.24752022286679248</v>
      </c>
      <c r="K11" s="128">
        <f>IF(B11=HOME!$A$9,0,IF(B11&lt;HOME!$A$9,"",IF(B11&gt;Regasification!$D$25+HOME!$A$9,"",Regasification!$D$35)))</f>
        <v>5594.1462499999998</v>
      </c>
      <c r="L11" s="121">
        <f>IF(B11=HOME!$A$9,K11/(1+Regasification!$D$26)^C11,IF(B11&lt;HOME!$A$9,"",IF(B11&gt;Regasification!$D$25+HOME!$A$9,"",K11/(1+Regasification!$D$26)^C11)))</f>
        <v>3693.8505894574851</v>
      </c>
      <c r="N11" s="88"/>
    </row>
    <row r="12" spans="1:14">
      <c r="B12" s="89">
        <v>2030</v>
      </c>
      <c r="C12" s="90">
        <f>IF(B12=HOME!$A$9,B12-HOME!$A$9,IF(B12&lt;HOME!$A$9,"",IF(B12&gt;HOME!$A$9+Regasification!$D$25,"",B12-HOME!$A$9)))</f>
        <v>8</v>
      </c>
      <c r="D12" s="91" cm="1">
        <f t="array" ref="D12">IF(B12=HOME!$A$9,"",IF(B12&lt;HOME!$A$9,"",IF(B12&gt;Regasification!$D$25+HOME!$A$9,"",INDEX(Tb_Fuel[],MATCH(B12,Tb_Fuel[Year],0),HLOOKUP(Regasification!$E$12&amp;" - Grid",'Fuel Data'!$BB$2:$BX$3,2,FALSE)+1))))</f>
        <v>0.11</v>
      </c>
      <c r="E12" s="91">
        <f>IF(B12=HOME!$A$9,Regasification!$D$30,IF(B12&lt;HOME!$A$9,"",IF(B12&gt;Regasification!$D$25+HOME!$A$9,"",0)))</f>
        <v>0</v>
      </c>
      <c r="F12" s="91">
        <f>IF(B12=HOME!$A$9,0,IF(B12&lt;HOME!$A$9,"",IF(B12&gt;Regasification!$D$25+HOME!$A$9,"",Regasification!$D$30*Regasification!$D$24)))</f>
        <v>5.6429620315576554E-3</v>
      </c>
      <c r="G12" s="91">
        <f>IF(B12=HOME!$A$9,0,IF(B12&lt;HOME!$A$9,"",IF(B12&gt;Regasification!$D$25+HOME!$A$9,"",D12/10^6*Regasification!$D$34*1000)))</f>
        <v>0.36921365249999993</v>
      </c>
      <c r="H12" s="92">
        <f>IF(B12=HOME!$A$9,SUM(E12:G12),IF(B12&lt;HOME!$A$9,"",IF(B12&gt;Regasification!$D$25+HOME!$A$9,"",SUM(E12:G12))))</f>
        <v>0.37485661453155761</v>
      </c>
      <c r="I12" s="91">
        <f>IF(B12=HOME!$A$9,G12/(1+Regasification!$D$26)^C12,IF(B12&lt;HOME!$A$9,"",IF(B12&gt;Regasification!$D$25+HOME!$A$9,"",G12/(1+Regasification!$D$26)^C12)))</f>
        <v>0.22975904576866776</v>
      </c>
      <c r="J12" s="91">
        <f>IF(B12=HOME!$A$9,H12/(1+Regasification!$D$26)^C12,IF(B12&lt;HOME!$A$9,"",IF(B12&gt;Regasification!$D$25+HOME!$A$9,"",H12/(1+Regasification!$D$26)^C12)))</f>
        <v>0.23327062114758612</v>
      </c>
      <c r="K12" s="128">
        <f>IF(B12=HOME!$A$9,0,IF(B12&lt;HOME!$A$9,"",IF(B12&gt;Regasification!$D$25+HOME!$A$9,"",Regasification!$D$35)))</f>
        <v>5594.1462499999998</v>
      </c>
      <c r="L12" s="121">
        <f>IF(B12=HOME!$A$9,K12/(1+Regasification!$D$26)^C12,IF(B12&lt;HOME!$A$9,"",IF(B12&gt;Regasification!$D$25+HOME!$A$9,"",K12/(1+Regasification!$D$26)^C12)))</f>
        <v>3481.1976631616335</v>
      </c>
      <c r="N12" s="88"/>
    </row>
    <row r="13" spans="1:14">
      <c r="B13" s="89">
        <v>2031</v>
      </c>
      <c r="C13" s="90">
        <f>IF(B13=HOME!$A$9,B13-HOME!$A$9,IF(B13&lt;HOME!$A$9,"",IF(B13&gt;HOME!$A$9+Regasification!$D$25,"",B13-HOME!$A$9)))</f>
        <v>9</v>
      </c>
      <c r="D13" s="91" cm="1">
        <f t="array" ref="D13">IF(B13=HOME!$A$9,"",IF(B13&lt;HOME!$A$9,"",IF(B13&gt;Regasification!$D$25+HOME!$A$9,"",INDEX(Tb_Fuel[],MATCH(B13,Tb_Fuel[Year],0),HLOOKUP(Regasification!$E$12&amp;" - Grid",'Fuel Data'!$BB$2:$BX$3,2,FALSE)+1))))</f>
        <v>0.11</v>
      </c>
      <c r="E13" s="91">
        <f>IF(B13=HOME!$A$9,Regasification!$D$30,IF(B13&lt;HOME!$A$9,"",IF(B13&gt;Regasification!$D$25+HOME!$A$9,"",0)))</f>
        <v>0</v>
      </c>
      <c r="F13" s="91">
        <f>IF(B13=HOME!$A$9,0,IF(B13&lt;HOME!$A$9,"",IF(B13&gt;Regasification!$D$25+HOME!$A$9,"",Regasification!$D$30*Regasification!$D$24)))</f>
        <v>5.6429620315576554E-3</v>
      </c>
      <c r="G13" s="91">
        <f>IF(B13=HOME!$A$9,0,IF(B13&lt;HOME!$A$9,"",IF(B13&gt;Regasification!$D$25+HOME!$A$9,"",D13/10^6*Regasification!$D$34*1000)))</f>
        <v>0.36921365249999993</v>
      </c>
      <c r="H13" s="92">
        <f>IF(B13=HOME!$A$9,SUM(E13:G13),IF(B13&lt;HOME!$A$9,"",IF(B13&gt;Regasification!$D$25+HOME!$A$9,"",SUM(E13:G13))))</f>
        <v>0.37485661453155761</v>
      </c>
      <c r="I13" s="91">
        <f>IF(B13=HOME!$A$9,G13/(1+Regasification!$D$26)^C13,IF(B13&lt;HOME!$A$9,"",IF(B13&gt;Regasification!$D$25+HOME!$A$9,"",G13/(1+Regasification!$D$26)^C13)))</f>
        <v>0.21653194514767984</v>
      </c>
      <c r="J13" s="91">
        <f>IF(B13=HOME!$A$9,H13/(1+Regasification!$D$26)^C13,IF(B13&lt;HOME!$A$9,"",IF(B13&gt;Regasification!$D$25+HOME!$A$9,"",H13/(1+Regasification!$D$26)^C13)))</f>
        <v>0.21984136108290908</v>
      </c>
      <c r="K13" s="128">
        <f>IF(B13=HOME!$A$9,0,IF(B13&lt;HOME!$A$9,"",IF(B13&gt;Regasification!$D$25+HOME!$A$9,"",Regasification!$D$35)))</f>
        <v>5594.1462499999998</v>
      </c>
      <c r="L13" s="121">
        <f>IF(B13=HOME!$A$9,K13/(1+Regasification!$D$26)^C13,IF(B13&lt;HOME!$A$9,"",IF(B13&gt;Regasification!$D$25+HOME!$A$9,"",K13/(1+Regasification!$D$26)^C13)))</f>
        <v>3280.7870476921194</v>
      </c>
      <c r="N13" s="88"/>
    </row>
    <row r="14" spans="1:14">
      <c r="B14" s="89">
        <v>2032</v>
      </c>
      <c r="C14" s="90">
        <f>IF(B14=HOME!$A$9,B14-HOME!$A$9,IF(B14&lt;HOME!$A$9,"",IF(B14&gt;HOME!$A$9+Regasification!$D$25,"",B14-HOME!$A$9)))</f>
        <v>10</v>
      </c>
      <c r="D14" s="91" cm="1">
        <f t="array" ref="D14">IF(B14=HOME!$A$9,"",IF(B14&lt;HOME!$A$9,"",IF(B14&gt;Regasification!$D$25+HOME!$A$9,"",INDEX(Tb_Fuel[],MATCH(B14,Tb_Fuel[Year],0),HLOOKUP(Regasification!$E$12&amp;" - Grid",'Fuel Data'!$BB$2:$BX$3,2,FALSE)+1))))</f>
        <v>0.11</v>
      </c>
      <c r="E14" s="91">
        <f>IF(B14=HOME!$A$9,Regasification!$D$30,IF(B14&lt;HOME!$A$9,"",IF(B14&gt;Regasification!$D$25+HOME!$A$9,"",0)))</f>
        <v>0</v>
      </c>
      <c r="F14" s="91">
        <f>IF(B14=HOME!$A$9,0,IF(B14&lt;HOME!$A$9,"",IF(B14&gt;Regasification!$D$25+HOME!$A$9,"",Regasification!$D$30*Regasification!$D$24)))</f>
        <v>5.6429620315576554E-3</v>
      </c>
      <c r="G14" s="91">
        <f>IF(B14=HOME!$A$9,0,IF(B14&lt;HOME!$A$9,"",IF(B14&gt;Regasification!$D$25+HOME!$A$9,"",D14/10^6*Regasification!$D$34*1000)))</f>
        <v>0.36921365249999993</v>
      </c>
      <c r="H14" s="92">
        <f>IF(B14=HOME!$A$9,SUM(E14:G14),IF(B14&lt;HOME!$A$9,"",IF(B14&gt;Regasification!$D$25+HOME!$A$9,"",SUM(E14:G14))))</f>
        <v>0.37485661453155761</v>
      </c>
      <c r="I14" s="91">
        <f>IF(B14=HOME!$A$9,G14/(1+Regasification!$D$26)^C14,IF(B14&lt;HOME!$A$9,"",IF(B14&gt;Regasification!$D$25+HOME!$A$9,"",G14/(1+Regasification!$D$26)^C14)))</f>
        <v>0.20406632136105299</v>
      </c>
      <c r="J14" s="91">
        <f>IF(B14=HOME!$A$9,H14/(1+Regasification!$D$26)^C14,IF(B14&lt;HOME!$A$9,"",IF(B14&gt;Regasification!$D$25+HOME!$A$9,"",H14/(1+Regasification!$D$26)^C14)))</f>
        <v>0.20718521605945547</v>
      </c>
      <c r="K14" s="128">
        <f>IF(B14=HOME!$A$9,0,IF(B14&lt;HOME!$A$9,"",IF(B14&gt;Regasification!$D$25+HOME!$A$9,"",Regasification!$D$35)))</f>
        <v>5594.1462499999998</v>
      </c>
      <c r="L14" s="121">
        <f>IF(B14=HOME!$A$9,K14/(1+Regasification!$D$26)^C14,IF(B14&lt;HOME!$A$9,"",IF(B14&gt;Regasification!$D$25+HOME!$A$9,"",K14/(1+Regasification!$D$26)^C14)))</f>
        <v>3091.9139600159547</v>
      </c>
      <c r="N14" s="88"/>
    </row>
    <row r="15" spans="1:14">
      <c r="B15" s="89">
        <v>2033</v>
      </c>
      <c r="C15" s="90" t="str">
        <f>IF(B15=HOME!$A$9,B15-HOME!$A$9,IF(B15&lt;HOME!$A$9,"",IF(B15&gt;HOME!$A$9+Regasification!$D$25,"",B15-HOME!$A$9)))</f>
        <v/>
      </c>
      <c r="D15" s="91" t="str" cm="1">
        <f t="array" ref="D15">IF(B15=HOME!$A$9,"",IF(B15&lt;HOME!$A$9,"",IF(B15&gt;Regasification!$D$25+HOME!$A$9,"",INDEX(Tb_Fuel[],MATCH(B15,Tb_Fuel[Year],0),HLOOKUP(Regasification!$E$12&amp;" - Grid",'Fuel Data'!$BB$2:$BX$3,2,FALSE)+1))))</f>
        <v/>
      </c>
      <c r="E15" s="91" t="str">
        <f>IF(B15=HOME!$A$9,Regasification!$D$30,IF(B15&lt;HOME!$A$9,"",IF(B15&gt;Regasification!$D$25+HOME!$A$9,"",0)))</f>
        <v/>
      </c>
      <c r="F15" s="91" t="str">
        <f>IF(B15=HOME!$A$9,0,IF(B15&lt;HOME!$A$9,"",IF(B15&gt;Regasification!$D$25+HOME!$A$9,"",Regasification!$D$30*Regasification!$D$24)))</f>
        <v/>
      </c>
      <c r="G15" s="91" t="str">
        <f>IF(B15=HOME!$A$9,0,IF(B15&lt;HOME!$A$9,"",IF(B15&gt;Regasification!$D$25+HOME!$A$9,"",D15/10^6*Regasification!$D$34*1000)))</f>
        <v/>
      </c>
      <c r="H15" s="92" t="str">
        <f>IF(B15=HOME!$A$9,SUM(E15:G15),IF(B15&lt;HOME!$A$9,"",IF(B15&gt;Regasification!$D$25+HOME!$A$9,"",SUM(E15:G15))))</f>
        <v/>
      </c>
      <c r="I15" s="91" t="str">
        <f>IF(B15=HOME!$A$9,G15/(1+Regasification!$D$26)^C15,IF(B15&lt;HOME!$A$9,"",IF(B15&gt;Regasification!$D$25+HOME!$A$9,"",G15/(1+Regasification!$D$26)^C15)))</f>
        <v/>
      </c>
      <c r="J15" s="91" t="str">
        <f>IF(B15=HOME!$A$9,H15/(1+Regasification!$D$26)^C15,IF(B15&lt;HOME!$A$9,"",IF(B15&gt;Regasification!$D$25+HOME!$A$9,"",H15/(1+Regasification!$D$26)^C15)))</f>
        <v/>
      </c>
      <c r="K15" s="128" t="str">
        <f>IF(B15=HOME!$A$9,0,IF(B15&lt;HOME!$A$9,"",IF(B15&gt;Regasification!$D$25+HOME!$A$9,"",Regasification!$D$35)))</f>
        <v/>
      </c>
      <c r="L15" s="121" t="str">
        <f>IF(B15=HOME!$A$9,K15/(1+Regasification!$D$26)^C15,IF(B15&lt;HOME!$A$9,"",IF(B15&gt;Regasification!$D$25+HOME!$A$9,"",K15/(1+Regasification!$D$26)^C15)))</f>
        <v/>
      </c>
      <c r="N15" s="88"/>
    </row>
    <row r="16" spans="1:14">
      <c r="B16" s="89">
        <v>2034</v>
      </c>
      <c r="C16" s="90" t="str">
        <f>IF(B16=HOME!$A$9,B16-HOME!$A$9,IF(B16&lt;HOME!$A$9,"",IF(B16&gt;HOME!$A$9+Regasification!$D$25,"",B16-HOME!$A$9)))</f>
        <v/>
      </c>
      <c r="D16" s="91" t="str" cm="1">
        <f t="array" ref="D16">IF(B16=HOME!$A$9,"",IF(B16&lt;HOME!$A$9,"",IF(B16&gt;Regasification!$D$25+HOME!$A$9,"",INDEX(Tb_Fuel[],MATCH(B16,Tb_Fuel[Year],0),HLOOKUP(Regasification!$E$12&amp;" - Grid",'Fuel Data'!$BB$2:$BX$3,2,FALSE)+1))))</f>
        <v/>
      </c>
      <c r="E16" s="91" t="str">
        <f>IF(B16=HOME!$A$9,Regasification!$D$30,IF(B16&lt;HOME!$A$9,"",IF(B16&gt;Regasification!$D$25+HOME!$A$9,"",0)))</f>
        <v/>
      </c>
      <c r="F16" s="91" t="str">
        <f>IF(B16=HOME!$A$9,0,IF(B16&lt;HOME!$A$9,"",IF(B16&gt;Regasification!$D$25+HOME!$A$9,"",Regasification!$D$30*Regasification!$D$24)))</f>
        <v/>
      </c>
      <c r="G16" s="91" t="str">
        <f>IF(B16=HOME!$A$9,0,IF(B16&lt;HOME!$A$9,"",IF(B16&gt;Regasification!$D$25+HOME!$A$9,"",D16/10^6*Regasification!$D$34*1000)))</f>
        <v/>
      </c>
      <c r="H16" s="92" t="str">
        <f>IF(B16=HOME!$A$9,SUM(E16:G16),IF(B16&lt;HOME!$A$9,"",IF(B16&gt;Regasification!$D$25+HOME!$A$9,"",SUM(E16:G16))))</f>
        <v/>
      </c>
      <c r="I16" s="91" t="str">
        <f>IF(B16=HOME!$A$9,G16/(1+Regasification!$D$26)^C16,IF(B16&lt;HOME!$A$9,"",IF(B16&gt;Regasification!$D$25+HOME!$A$9,"",G16/(1+Regasification!$D$26)^C16)))</f>
        <v/>
      </c>
      <c r="J16" s="91" t="str">
        <f>IF(B16=HOME!$A$9,H16/(1+Regasification!$D$26)^C16,IF(B16&lt;HOME!$A$9,"",IF(B16&gt;Regasification!$D$25+HOME!$A$9,"",H16/(1+Regasification!$D$26)^C16)))</f>
        <v/>
      </c>
      <c r="K16" s="128" t="str">
        <f>IF(B16=HOME!$A$9,0,IF(B16&lt;HOME!$A$9,"",IF(B16&gt;Regasification!$D$25+HOME!$A$9,"",Regasification!$D$35)))</f>
        <v/>
      </c>
      <c r="L16" s="121" t="str">
        <f>IF(B16=HOME!$A$9,K16/(1+Regasification!$D$26)^C16,IF(B16&lt;HOME!$A$9,"",IF(B16&gt;Regasification!$D$25+HOME!$A$9,"",K16/(1+Regasification!$D$26)^C16)))</f>
        <v/>
      </c>
      <c r="N16" s="88"/>
    </row>
    <row r="17" spans="2:14">
      <c r="B17" s="89">
        <v>2035</v>
      </c>
      <c r="C17" s="90" t="str">
        <f>IF(B17=HOME!$A$9,B17-HOME!$A$9,IF(B17&lt;HOME!$A$9,"",IF(B17&gt;HOME!$A$9+Regasification!$D$25,"",B17-HOME!$A$9)))</f>
        <v/>
      </c>
      <c r="D17" s="91" t="str" cm="1">
        <f t="array" ref="D17">IF(B17=HOME!$A$9,"",IF(B17&lt;HOME!$A$9,"",IF(B17&gt;Regasification!$D$25+HOME!$A$9,"",INDEX(Tb_Fuel[],MATCH(B17,Tb_Fuel[Year],0),HLOOKUP(Regasification!$E$12&amp;" - Grid",'Fuel Data'!$BB$2:$BX$3,2,FALSE)+1))))</f>
        <v/>
      </c>
      <c r="E17" s="91" t="str">
        <f>IF(B17=HOME!$A$9,Regasification!$D$30,IF(B17&lt;HOME!$A$9,"",IF(B17&gt;Regasification!$D$25+HOME!$A$9,"",0)))</f>
        <v/>
      </c>
      <c r="F17" s="91" t="str">
        <f>IF(B17=HOME!$A$9,0,IF(B17&lt;HOME!$A$9,"",IF(B17&gt;Regasification!$D$25+HOME!$A$9,"",Regasification!$D$30*Regasification!$D$24)))</f>
        <v/>
      </c>
      <c r="G17" s="91" t="str">
        <f>IF(B17=HOME!$A$9,0,IF(B17&lt;HOME!$A$9,"",IF(B17&gt;Regasification!$D$25+HOME!$A$9,"",D17/10^6*Regasification!$D$34*1000)))</f>
        <v/>
      </c>
      <c r="H17" s="92" t="str">
        <f>IF(B17=HOME!$A$9,SUM(E17:G17),IF(B17&lt;HOME!$A$9,"",IF(B17&gt;Regasification!$D$25+HOME!$A$9,"",SUM(E17:G17))))</f>
        <v/>
      </c>
      <c r="I17" s="91" t="str">
        <f>IF(B17=HOME!$A$9,G17/(1+Regasification!$D$26)^C17,IF(B17&lt;HOME!$A$9,"",IF(B17&gt;Regasification!$D$25+HOME!$A$9,"",G17/(1+Regasification!$D$26)^C17)))</f>
        <v/>
      </c>
      <c r="J17" s="91" t="str">
        <f>IF(B17=HOME!$A$9,H17/(1+Regasification!$D$26)^C17,IF(B17&lt;HOME!$A$9,"",IF(B17&gt;Regasification!$D$25+HOME!$A$9,"",H17/(1+Regasification!$D$26)^C17)))</f>
        <v/>
      </c>
      <c r="K17" s="128" t="str">
        <f>IF(B17=HOME!$A$9,0,IF(B17&lt;HOME!$A$9,"",IF(B17&gt;Regasification!$D$25+HOME!$A$9,"",Regasification!$D$35)))</f>
        <v/>
      </c>
      <c r="L17" s="121" t="str">
        <f>IF(B17=HOME!$A$9,K17/(1+Regasification!$D$26)^C17,IF(B17&lt;HOME!$A$9,"",IF(B17&gt;Regasification!$D$25+HOME!$A$9,"",K17/(1+Regasification!$D$26)^C17)))</f>
        <v/>
      </c>
      <c r="N17" s="88"/>
    </row>
    <row r="18" spans="2:14">
      <c r="B18" s="89">
        <v>2036</v>
      </c>
      <c r="C18" s="90" t="str">
        <f>IF(B18=HOME!$A$9,B18-HOME!$A$9,IF(B18&lt;HOME!$A$9,"",IF(B18&gt;HOME!$A$9+Regasification!$D$25,"",B18-HOME!$A$9)))</f>
        <v/>
      </c>
      <c r="D18" s="91" t="str" cm="1">
        <f t="array" ref="D18">IF(B18=HOME!$A$9,"",IF(B18&lt;HOME!$A$9,"",IF(B18&gt;Regasification!$D$25+HOME!$A$9,"",INDEX(Tb_Fuel[],MATCH(B18,Tb_Fuel[Year],0),HLOOKUP(Regasification!$E$12&amp;" - Grid",'Fuel Data'!$BB$2:$BX$3,2,FALSE)+1))))</f>
        <v/>
      </c>
      <c r="E18" s="91" t="str">
        <f>IF(B18=HOME!$A$9,Regasification!$D$30,IF(B18&lt;HOME!$A$9,"",IF(B18&gt;Regasification!$D$25+HOME!$A$9,"",0)))</f>
        <v/>
      </c>
      <c r="F18" s="91" t="str">
        <f>IF(B18=HOME!$A$9,0,IF(B18&lt;HOME!$A$9,"",IF(B18&gt;Regasification!$D$25+HOME!$A$9,"",Regasification!$D$30*Regasification!$D$24)))</f>
        <v/>
      </c>
      <c r="G18" s="91" t="str">
        <f>IF(B18=HOME!$A$9,0,IF(B18&lt;HOME!$A$9,"",IF(B18&gt;Regasification!$D$25+HOME!$A$9,"",D18/10^6*Regasification!$D$34*1000)))</f>
        <v/>
      </c>
      <c r="H18" s="92" t="str">
        <f>IF(B18=HOME!$A$9,SUM(E18:G18),IF(B18&lt;HOME!$A$9,"",IF(B18&gt;Regasification!$D$25+HOME!$A$9,"",SUM(E18:G18))))</f>
        <v/>
      </c>
      <c r="I18" s="91" t="str">
        <f>IF(B18=HOME!$A$9,G18/(1+Regasification!$D$26)^C18,IF(B18&lt;HOME!$A$9,"",IF(B18&gt;Regasification!$D$25+HOME!$A$9,"",G18/(1+Regasification!$D$26)^C18)))</f>
        <v/>
      </c>
      <c r="J18" s="91" t="str">
        <f>IF(B18=HOME!$A$9,H18/(1+Regasification!$D$26)^C18,IF(B18&lt;HOME!$A$9,"",IF(B18&gt;Regasification!$D$25+HOME!$A$9,"",H18/(1+Regasification!$D$26)^C18)))</f>
        <v/>
      </c>
      <c r="K18" s="128" t="str">
        <f>IF(B18=HOME!$A$9,0,IF(B18&lt;HOME!$A$9,"",IF(B18&gt;Regasification!$D$25+HOME!$A$9,"",Regasification!$D$35)))</f>
        <v/>
      </c>
      <c r="L18" s="121" t="str">
        <f>IF(B18=HOME!$A$9,K18/(1+Regasification!$D$26)^C18,IF(B18&lt;HOME!$A$9,"",IF(B18&gt;Regasification!$D$25+HOME!$A$9,"",K18/(1+Regasification!$D$26)^C18)))</f>
        <v/>
      </c>
      <c r="N18" s="88"/>
    </row>
    <row r="19" spans="2:14">
      <c r="B19" s="89">
        <v>2037</v>
      </c>
      <c r="C19" s="90" t="str">
        <f>IF(B19=HOME!$A$9,B19-HOME!$A$9,IF(B19&lt;HOME!$A$9,"",IF(B19&gt;HOME!$A$9+Regasification!$D$25,"",B19-HOME!$A$9)))</f>
        <v/>
      </c>
      <c r="D19" s="91" t="str" cm="1">
        <f t="array" ref="D19">IF(B19=HOME!$A$9,"",IF(B19&lt;HOME!$A$9,"",IF(B19&gt;Regasification!$D$25+HOME!$A$9,"",INDEX(Tb_Fuel[],MATCH(B19,Tb_Fuel[Year],0),HLOOKUP(Regasification!$E$12&amp;" - Grid",'Fuel Data'!$BB$2:$BX$3,2,FALSE)+1))))</f>
        <v/>
      </c>
      <c r="E19" s="91" t="str">
        <f>IF(B19=HOME!$A$9,Regasification!$D$30,IF(B19&lt;HOME!$A$9,"",IF(B19&gt;Regasification!$D$25+HOME!$A$9,"",0)))</f>
        <v/>
      </c>
      <c r="F19" s="91" t="str">
        <f>IF(B19=HOME!$A$9,0,IF(B19&lt;HOME!$A$9,"",IF(B19&gt;Regasification!$D$25+HOME!$A$9,"",Regasification!$D$30*Regasification!$D$24)))</f>
        <v/>
      </c>
      <c r="G19" s="91" t="str">
        <f>IF(B19=HOME!$A$9,0,IF(B19&lt;HOME!$A$9,"",IF(B19&gt;Regasification!$D$25+HOME!$A$9,"",D19/10^6*Regasification!$D$34*1000)))</f>
        <v/>
      </c>
      <c r="H19" s="92" t="str">
        <f>IF(B19=HOME!$A$9,SUM(E19:G19),IF(B19&lt;HOME!$A$9,"",IF(B19&gt;Regasification!$D$25+HOME!$A$9,"",SUM(E19:G19))))</f>
        <v/>
      </c>
      <c r="I19" s="91" t="str">
        <f>IF(B19=HOME!$A$9,G19/(1+Regasification!$D$26)^C19,IF(B19&lt;HOME!$A$9,"",IF(B19&gt;Regasification!$D$25+HOME!$A$9,"",G19/(1+Regasification!$D$26)^C19)))</f>
        <v/>
      </c>
      <c r="J19" s="91" t="str">
        <f>IF(B19=HOME!$A$9,H19/(1+Regasification!$D$26)^C19,IF(B19&lt;HOME!$A$9,"",IF(B19&gt;Regasification!$D$25+HOME!$A$9,"",H19/(1+Regasification!$D$26)^C19)))</f>
        <v/>
      </c>
      <c r="K19" s="128" t="str">
        <f>IF(B19=HOME!$A$9,0,IF(B19&lt;HOME!$A$9,"",IF(B19&gt;Regasification!$D$25+HOME!$A$9,"",Regasification!$D$35)))</f>
        <v/>
      </c>
      <c r="L19" s="121" t="str">
        <f>IF(B19=HOME!$A$9,K19/(1+Regasification!$D$26)^C19,IF(B19&lt;HOME!$A$9,"",IF(B19&gt;Regasification!$D$25+HOME!$A$9,"",K19/(1+Regasification!$D$26)^C19)))</f>
        <v/>
      </c>
      <c r="N19" s="88"/>
    </row>
    <row r="20" spans="2:14">
      <c r="B20" s="89">
        <v>2038</v>
      </c>
      <c r="C20" s="90" t="str">
        <f>IF(B20=HOME!$A$9,B20-HOME!$A$9,IF(B20&lt;HOME!$A$9,"",IF(B20&gt;HOME!$A$9+Regasification!$D$25,"",B20-HOME!$A$9)))</f>
        <v/>
      </c>
      <c r="D20" s="91" t="str" cm="1">
        <f t="array" ref="D20">IF(B20=HOME!$A$9,"",IF(B20&lt;HOME!$A$9,"",IF(B20&gt;Regasification!$D$25+HOME!$A$9,"",INDEX(Tb_Fuel[],MATCH(B20,Tb_Fuel[Year],0),HLOOKUP(Regasification!$E$12&amp;" - Grid",'Fuel Data'!$BB$2:$BX$3,2,FALSE)+1))))</f>
        <v/>
      </c>
      <c r="E20" s="91" t="str">
        <f>IF(B20=HOME!$A$9,Regasification!$D$30,IF(B20&lt;HOME!$A$9,"",IF(B20&gt;Regasification!$D$25+HOME!$A$9,"",0)))</f>
        <v/>
      </c>
      <c r="F20" s="91" t="str">
        <f>IF(B20=HOME!$A$9,0,IF(B20&lt;HOME!$A$9,"",IF(B20&gt;Regasification!$D$25+HOME!$A$9,"",Regasification!$D$30*Regasification!$D$24)))</f>
        <v/>
      </c>
      <c r="G20" s="91" t="str">
        <f>IF(B20=HOME!$A$9,0,IF(B20&lt;HOME!$A$9,"",IF(B20&gt;Regasification!$D$25+HOME!$A$9,"",D20/10^6*Regasification!$D$34*1000)))</f>
        <v/>
      </c>
      <c r="H20" s="92" t="str">
        <f>IF(B20=HOME!$A$9,SUM(E20:G20),IF(B20&lt;HOME!$A$9,"",IF(B20&gt;Regasification!$D$25+HOME!$A$9,"",SUM(E20:G20))))</f>
        <v/>
      </c>
      <c r="I20" s="91" t="str">
        <f>IF(B20=HOME!$A$9,G20/(1+Regasification!$D$26)^C20,IF(B20&lt;HOME!$A$9,"",IF(B20&gt;Regasification!$D$25+HOME!$A$9,"",G20/(1+Regasification!$D$26)^C20)))</f>
        <v/>
      </c>
      <c r="J20" s="91" t="str">
        <f>IF(B20=HOME!$A$9,H20/(1+Regasification!$D$26)^C20,IF(B20&lt;HOME!$A$9,"",IF(B20&gt;Regasification!$D$25+HOME!$A$9,"",H20/(1+Regasification!$D$26)^C20)))</f>
        <v/>
      </c>
      <c r="K20" s="128" t="str">
        <f>IF(B20=HOME!$A$9,0,IF(B20&lt;HOME!$A$9,"",IF(B20&gt;Regasification!$D$25+HOME!$A$9,"",Regasification!$D$35)))</f>
        <v/>
      </c>
      <c r="L20" s="121" t="str">
        <f>IF(B20=HOME!$A$9,K20/(1+Regasification!$D$26)^C20,IF(B20&lt;HOME!$A$9,"",IF(B20&gt;Regasification!$D$25+HOME!$A$9,"",K20/(1+Regasification!$D$26)^C20)))</f>
        <v/>
      </c>
      <c r="N20" s="88"/>
    </row>
    <row r="21" spans="2:14">
      <c r="B21" s="89">
        <v>2039</v>
      </c>
      <c r="C21" s="90" t="str">
        <f>IF(B21=HOME!$A$9,B21-HOME!$A$9,IF(B21&lt;HOME!$A$9,"",IF(B21&gt;HOME!$A$9+Regasification!$D$25,"",B21-HOME!$A$9)))</f>
        <v/>
      </c>
      <c r="D21" s="91" t="str" cm="1">
        <f t="array" ref="D21">IF(B21=HOME!$A$9,"",IF(B21&lt;HOME!$A$9,"",IF(B21&gt;Regasification!$D$25+HOME!$A$9,"",INDEX(Tb_Fuel[],MATCH(B21,Tb_Fuel[Year],0),HLOOKUP(Regasification!$E$12&amp;" - Grid",'Fuel Data'!$BB$2:$BX$3,2,FALSE)+1))))</f>
        <v/>
      </c>
      <c r="E21" s="91" t="str">
        <f>IF(B21=HOME!$A$9,Regasification!$D$30,IF(B21&lt;HOME!$A$9,"",IF(B21&gt;Regasification!$D$25+HOME!$A$9,"",0)))</f>
        <v/>
      </c>
      <c r="F21" s="91" t="str">
        <f>IF(B21=HOME!$A$9,0,IF(B21&lt;HOME!$A$9,"",IF(B21&gt;Regasification!$D$25+HOME!$A$9,"",Regasification!$D$30*Regasification!$D$24)))</f>
        <v/>
      </c>
      <c r="G21" s="91" t="str">
        <f>IF(B21=HOME!$A$9,0,IF(B21&lt;HOME!$A$9,"",IF(B21&gt;Regasification!$D$25+HOME!$A$9,"",D21/10^6*Regasification!$D$34*1000)))</f>
        <v/>
      </c>
      <c r="H21" s="92" t="str">
        <f>IF(B21=HOME!$A$9,SUM(E21:G21),IF(B21&lt;HOME!$A$9,"",IF(B21&gt;Regasification!$D$25+HOME!$A$9,"",SUM(E21:G21))))</f>
        <v/>
      </c>
      <c r="I21" s="91" t="str">
        <f>IF(B21=HOME!$A$9,G21/(1+Regasification!$D$26)^C21,IF(B21&lt;HOME!$A$9,"",IF(B21&gt;Regasification!$D$25+HOME!$A$9,"",G21/(1+Regasification!$D$26)^C21)))</f>
        <v/>
      </c>
      <c r="J21" s="91" t="str">
        <f>IF(B21=HOME!$A$9,H21/(1+Regasification!$D$26)^C21,IF(B21&lt;HOME!$A$9,"",IF(B21&gt;Regasification!$D$25+HOME!$A$9,"",H21/(1+Regasification!$D$26)^C21)))</f>
        <v/>
      </c>
      <c r="K21" s="128" t="str">
        <f>IF(B21=HOME!$A$9,0,IF(B21&lt;HOME!$A$9,"",IF(B21&gt;Regasification!$D$25+HOME!$A$9,"",Regasification!$D$35)))</f>
        <v/>
      </c>
      <c r="L21" s="121" t="str">
        <f>IF(B21=HOME!$A$9,K21/(1+Regasification!$D$26)^C21,IF(B21&lt;HOME!$A$9,"",IF(B21&gt;Regasification!$D$25+HOME!$A$9,"",K21/(1+Regasification!$D$26)^C21)))</f>
        <v/>
      </c>
      <c r="N21" s="88"/>
    </row>
    <row r="22" spans="2:14">
      <c r="B22" s="89">
        <v>2040</v>
      </c>
      <c r="C22" s="90" t="str">
        <f>IF(B22=HOME!$A$9,B22-HOME!$A$9,IF(B22&lt;HOME!$A$9,"",IF(B22&gt;HOME!$A$9+Regasification!$D$25,"",B22-HOME!$A$9)))</f>
        <v/>
      </c>
      <c r="D22" s="91" t="str" cm="1">
        <f t="array" ref="D22">IF(B22=HOME!$A$9,"",IF(B22&lt;HOME!$A$9,"",IF(B22&gt;Regasification!$D$25+HOME!$A$9,"",INDEX(Tb_Fuel[],MATCH(B22,Tb_Fuel[Year],0),HLOOKUP(Regasification!$E$12&amp;" - Grid",'Fuel Data'!$BB$2:$BX$3,2,FALSE)+1))))</f>
        <v/>
      </c>
      <c r="E22" s="91" t="str">
        <f>IF(B22=HOME!$A$9,Regasification!$D$30,IF(B22&lt;HOME!$A$9,"",IF(B22&gt;Regasification!$D$25+HOME!$A$9,"",0)))</f>
        <v/>
      </c>
      <c r="F22" s="91" t="str">
        <f>IF(B22=HOME!$A$9,0,IF(B22&lt;HOME!$A$9,"",IF(B22&gt;Regasification!$D$25+HOME!$A$9,"",Regasification!$D$30*Regasification!$D$24)))</f>
        <v/>
      </c>
      <c r="G22" s="91" t="str">
        <f>IF(B22=HOME!$A$9,0,IF(B22&lt;HOME!$A$9,"",IF(B22&gt;Regasification!$D$25+HOME!$A$9,"",D22/10^6*Regasification!$D$34*1000)))</f>
        <v/>
      </c>
      <c r="H22" s="92" t="str">
        <f>IF(B22=HOME!$A$9,SUM(E22:G22),IF(B22&lt;HOME!$A$9,"",IF(B22&gt;Regasification!$D$25+HOME!$A$9,"",SUM(E22:G22))))</f>
        <v/>
      </c>
      <c r="I22" s="91" t="str">
        <f>IF(B22=HOME!$A$9,G22/(1+Regasification!$D$26)^C22,IF(B22&lt;HOME!$A$9,"",IF(B22&gt;Regasification!$D$25+HOME!$A$9,"",G22/(1+Regasification!$D$26)^C22)))</f>
        <v/>
      </c>
      <c r="J22" s="91" t="str">
        <f>IF(B22=HOME!$A$9,H22/(1+Regasification!$D$26)^C22,IF(B22&lt;HOME!$A$9,"",IF(B22&gt;Regasification!$D$25+HOME!$A$9,"",H22/(1+Regasification!$D$26)^C22)))</f>
        <v/>
      </c>
      <c r="K22" s="128" t="str">
        <f>IF(B22=HOME!$A$9,0,IF(B22&lt;HOME!$A$9,"",IF(B22&gt;Regasification!$D$25+HOME!$A$9,"",Regasification!$D$35)))</f>
        <v/>
      </c>
      <c r="L22" s="121" t="str">
        <f>IF(B22=HOME!$A$9,K22/(1+Regasification!$D$26)^C22,IF(B22&lt;HOME!$A$9,"",IF(B22&gt;Regasification!$D$25+HOME!$A$9,"",K22/(1+Regasification!$D$26)^C22)))</f>
        <v/>
      </c>
      <c r="N22" s="88"/>
    </row>
    <row r="23" spans="2:14">
      <c r="B23" s="89">
        <v>2041</v>
      </c>
      <c r="C23" s="90" t="str">
        <f>IF(B23=HOME!$A$9,B23-HOME!$A$9,IF(B23&lt;HOME!$A$9,"",IF(B23&gt;HOME!$A$9+Regasification!$D$25,"",B23-HOME!$A$9)))</f>
        <v/>
      </c>
      <c r="D23" s="91" t="str" cm="1">
        <f t="array" ref="D23">IF(B23=HOME!$A$9,"",IF(B23&lt;HOME!$A$9,"",IF(B23&gt;Regasification!$D$25+HOME!$A$9,"",INDEX(Tb_Fuel[],MATCH(B23,Tb_Fuel[Year],0),HLOOKUP(Regasification!$E$12&amp;" - Grid",'Fuel Data'!$BB$2:$BX$3,2,FALSE)+1))))</f>
        <v/>
      </c>
      <c r="E23" s="91" t="str">
        <f>IF(B23=HOME!$A$9,Regasification!$D$30,IF(B23&lt;HOME!$A$9,"",IF(B23&gt;Regasification!$D$25+HOME!$A$9,"",0)))</f>
        <v/>
      </c>
      <c r="F23" s="91" t="str">
        <f>IF(B23=HOME!$A$9,0,IF(B23&lt;HOME!$A$9,"",IF(B23&gt;Regasification!$D$25+HOME!$A$9,"",Regasification!$D$30*Regasification!$D$24)))</f>
        <v/>
      </c>
      <c r="G23" s="91" t="str">
        <f>IF(B23=HOME!$A$9,0,IF(B23&lt;HOME!$A$9,"",IF(B23&gt;Regasification!$D$25+HOME!$A$9,"",D23/10^6*Regasification!$D$34*1000)))</f>
        <v/>
      </c>
      <c r="H23" s="92" t="str">
        <f>IF(B23=HOME!$A$9,SUM(E23:G23),IF(B23&lt;HOME!$A$9,"",IF(B23&gt;Regasification!$D$25+HOME!$A$9,"",SUM(E23:G23))))</f>
        <v/>
      </c>
      <c r="I23" s="91" t="str">
        <f>IF(B23=HOME!$A$9,G23/(1+Regasification!$D$26)^C23,IF(B23&lt;HOME!$A$9,"",IF(B23&gt;Regasification!$D$25+HOME!$A$9,"",G23/(1+Regasification!$D$26)^C23)))</f>
        <v/>
      </c>
      <c r="J23" s="91" t="str">
        <f>IF(B23=HOME!$A$9,H23/(1+Regasification!$D$26)^C23,IF(B23&lt;HOME!$A$9,"",IF(B23&gt;Regasification!$D$25+HOME!$A$9,"",H23/(1+Regasification!$D$26)^C23)))</f>
        <v/>
      </c>
      <c r="K23" s="128" t="str">
        <f>IF(B23=HOME!$A$9,0,IF(B23&lt;HOME!$A$9,"",IF(B23&gt;Regasification!$D$25+HOME!$A$9,"",Regasification!$D$35)))</f>
        <v/>
      </c>
      <c r="L23" s="121" t="str">
        <f>IF(B23=HOME!$A$9,K23/(1+Regasification!$D$26)^C23,IF(B23&lt;HOME!$A$9,"",IF(B23&gt;Regasification!$D$25+HOME!$A$9,"",K23/(1+Regasification!$D$26)^C23)))</f>
        <v/>
      </c>
      <c r="N23" s="88"/>
    </row>
    <row r="24" spans="2:14">
      <c r="B24" s="89">
        <v>2042</v>
      </c>
      <c r="C24" s="90" t="str">
        <f>IF(B24=HOME!$A$9,B24-HOME!$A$9,IF(B24&lt;HOME!$A$9,"",IF(B24&gt;HOME!$A$9+Regasification!$D$25,"",B24-HOME!$A$9)))</f>
        <v/>
      </c>
      <c r="D24" s="91" t="str" cm="1">
        <f t="array" ref="D24">IF(B24=HOME!$A$9,"",IF(B24&lt;HOME!$A$9,"",IF(B24&gt;Regasification!$D$25+HOME!$A$9,"",INDEX(Tb_Fuel[],MATCH(B24,Tb_Fuel[Year],0),HLOOKUP(Regasification!$E$12&amp;" - Grid",'Fuel Data'!$BB$2:$BX$3,2,FALSE)+1))))</f>
        <v/>
      </c>
      <c r="E24" s="91" t="str">
        <f>IF(B24=HOME!$A$9,Regasification!$D$30,IF(B24&lt;HOME!$A$9,"",IF(B24&gt;Regasification!$D$25+HOME!$A$9,"",0)))</f>
        <v/>
      </c>
      <c r="F24" s="91" t="str">
        <f>IF(B24=HOME!$A$9,0,IF(B24&lt;HOME!$A$9,"",IF(B24&gt;Regasification!$D$25+HOME!$A$9,"",Regasification!$D$30*Regasification!$D$24)))</f>
        <v/>
      </c>
      <c r="G24" s="91" t="str">
        <f>IF(B24=HOME!$A$9,0,IF(B24&lt;HOME!$A$9,"",IF(B24&gt;Regasification!$D$25+HOME!$A$9,"",D24/10^6*Regasification!$D$34*1000)))</f>
        <v/>
      </c>
      <c r="H24" s="92" t="str">
        <f>IF(B24=HOME!$A$9,SUM(E24:G24),IF(B24&lt;HOME!$A$9,"",IF(B24&gt;Regasification!$D$25+HOME!$A$9,"",SUM(E24:G24))))</f>
        <v/>
      </c>
      <c r="I24" s="91" t="str">
        <f>IF(B24=HOME!$A$9,G24/(1+Regasification!$D$26)^C24,IF(B24&lt;HOME!$A$9,"",IF(B24&gt;Regasification!$D$25+HOME!$A$9,"",G24/(1+Regasification!$D$26)^C24)))</f>
        <v/>
      </c>
      <c r="J24" s="91" t="str">
        <f>IF(B24=HOME!$A$9,H24/(1+Regasification!$D$26)^C24,IF(B24&lt;HOME!$A$9,"",IF(B24&gt;Regasification!$D$25+HOME!$A$9,"",H24/(1+Regasification!$D$26)^C24)))</f>
        <v/>
      </c>
      <c r="K24" s="128" t="str">
        <f>IF(B24=HOME!$A$9,0,IF(B24&lt;HOME!$A$9,"",IF(B24&gt;Regasification!$D$25+HOME!$A$9,"",Regasification!$D$35)))</f>
        <v/>
      </c>
      <c r="L24" s="121" t="str">
        <f>IF(B24=HOME!$A$9,K24/(1+Regasification!$D$26)^C24,IF(B24&lt;HOME!$A$9,"",IF(B24&gt;Regasification!$D$25+HOME!$A$9,"",K24/(1+Regasification!$D$26)^C24)))</f>
        <v/>
      </c>
      <c r="N24" s="88"/>
    </row>
    <row r="25" spans="2:14">
      <c r="B25" s="89">
        <v>2043</v>
      </c>
      <c r="C25" s="90" t="str">
        <f>IF(B25=HOME!$A$9,B25-HOME!$A$9,IF(B25&lt;HOME!$A$9,"",IF(B25&gt;HOME!$A$9+Regasification!$D$25,"",B25-HOME!$A$9)))</f>
        <v/>
      </c>
      <c r="D25" s="91" t="str" cm="1">
        <f t="array" ref="D25">IF(B25=HOME!$A$9,"",IF(B25&lt;HOME!$A$9,"",IF(B25&gt;Regasification!$D$25+HOME!$A$9,"",INDEX(Tb_Fuel[],MATCH(B25,Tb_Fuel[Year],0),HLOOKUP(Regasification!$E$12&amp;" - Grid",'Fuel Data'!$BB$2:$BX$3,2,FALSE)+1))))</f>
        <v/>
      </c>
      <c r="E25" s="91" t="str">
        <f>IF(B25=HOME!$A$9,Regasification!$D$30,IF(B25&lt;HOME!$A$9,"",IF(B25&gt;Regasification!$D$25+HOME!$A$9,"",0)))</f>
        <v/>
      </c>
      <c r="F25" s="91" t="str">
        <f>IF(B25=HOME!$A$9,0,IF(B25&lt;HOME!$A$9,"",IF(B25&gt;Regasification!$D$25+HOME!$A$9,"",Regasification!$D$30*Regasification!$D$24)))</f>
        <v/>
      </c>
      <c r="G25" s="91" t="str">
        <f>IF(B25=HOME!$A$9,0,IF(B25&lt;HOME!$A$9,"",IF(B25&gt;Regasification!$D$25+HOME!$A$9,"",D25/10^6*Regasification!$D$34*1000)))</f>
        <v/>
      </c>
      <c r="H25" s="92" t="str">
        <f>IF(B25=HOME!$A$9,SUM(E25:G25),IF(B25&lt;HOME!$A$9,"",IF(B25&gt;Regasification!$D$25+HOME!$A$9,"",SUM(E25:G25))))</f>
        <v/>
      </c>
      <c r="I25" s="91" t="str">
        <f>IF(B25=HOME!$A$9,G25/(1+Regasification!$D$26)^C25,IF(B25&lt;HOME!$A$9,"",IF(B25&gt;Regasification!$D$25+HOME!$A$9,"",G25/(1+Regasification!$D$26)^C25)))</f>
        <v/>
      </c>
      <c r="J25" s="91" t="str">
        <f>IF(B25=HOME!$A$9,H25/(1+Regasification!$D$26)^C25,IF(B25&lt;HOME!$A$9,"",IF(B25&gt;Regasification!$D$25+HOME!$A$9,"",H25/(1+Regasification!$D$26)^C25)))</f>
        <v/>
      </c>
      <c r="K25" s="128" t="str">
        <f>IF(B25=HOME!$A$9,0,IF(B25&lt;HOME!$A$9,"",IF(B25&gt;Regasification!$D$25+HOME!$A$9,"",Regasification!$D$35)))</f>
        <v/>
      </c>
      <c r="L25" s="121" t="str">
        <f>IF(B25=HOME!$A$9,K25/(1+Regasification!$D$26)^C25,IF(B25&lt;HOME!$A$9,"",IF(B25&gt;Regasification!$D$25+HOME!$A$9,"",K25/(1+Regasification!$D$26)^C25)))</f>
        <v/>
      </c>
    </row>
    <row r="26" spans="2:14">
      <c r="B26" s="89">
        <v>2044</v>
      </c>
      <c r="C26" s="90" t="str">
        <f>IF(B26=HOME!$A$9,B26-HOME!$A$9,IF(B26&lt;HOME!$A$9,"",IF(B26&gt;HOME!$A$9+Regasification!$D$25,"",B26-HOME!$A$9)))</f>
        <v/>
      </c>
      <c r="D26" s="91" t="str" cm="1">
        <f t="array" ref="D26">IF(B26=HOME!$A$9,"",IF(B26&lt;HOME!$A$9,"",IF(B26&gt;Regasification!$D$25+HOME!$A$9,"",INDEX(Tb_Fuel[],MATCH(B26,Tb_Fuel[Year],0),HLOOKUP(Regasification!$E$12&amp;" - Grid",'Fuel Data'!$BB$2:$BX$3,2,FALSE)+1))))</f>
        <v/>
      </c>
      <c r="E26" s="91" t="str">
        <f>IF(B26=HOME!$A$9,Regasification!$D$30,IF(B26&lt;HOME!$A$9,"",IF(B26&gt;Regasification!$D$25+HOME!$A$9,"",0)))</f>
        <v/>
      </c>
      <c r="F26" s="91" t="str">
        <f>IF(B26=HOME!$A$9,0,IF(B26&lt;HOME!$A$9,"",IF(B26&gt;Regasification!$D$25+HOME!$A$9,"",Regasification!$D$30*Regasification!$D$24)))</f>
        <v/>
      </c>
      <c r="G26" s="91" t="str">
        <f>IF(B26=HOME!$A$9,0,IF(B26&lt;HOME!$A$9,"",IF(B26&gt;Regasification!$D$25+HOME!$A$9,"",D26/10^6*Regasification!$D$34*1000)))</f>
        <v/>
      </c>
      <c r="H26" s="92" t="str">
        <f>IF(B26=HOME!$A$9,SUM(E26:G26),IF(B26&lt;HOME!$A$9,"",IF(B26&gt;Regasification!$D$25+HOME!$A$9,"",SUM(E26:G26))))</f>
        <v/>
      </c>
      <c r="I26" s="91" t="str">
        <f>IF(B26=HOME!$A$9,G26/(1+Regasification!$D$26)^C26,IF(B26&lt;HOME!$A$9,"",IF(B26&gt;Regasification!$D$25+HOME!$A$9,"",G26/(1+Regasification!$D$26)^C26)))</f>
        <v/>
      </c>
      <c r="J26" s="91" t="str">
        <f>IF(B26=HOME!$A$9,H26/(1+Regasification!$D$26)^C26,IF(B26&lt;HOME!$A$9,"",IF(B26&gt;Regasification!$D$25+HOME!$A$9,"",H26/(1+Regasification!$D$26)^C26)))</f>
        <v/>
      </c>
      <c r="K26" s="128" t="str">
        <f>IF(B26=HOME!$A$9,0,IF(B26&lt;HOME!$A$9,"",IF(B26&gt;Regasification!$D$25+HOME!$A$9,"",Regasification!$D$35)))</f>
        <v/>
      </c>
      <c r="L26" s="121" t="str">
        <f>IF(B26=HOME!$A$9,K26/(1+Regasification!$D$26)^C26,IF(B26&lt;HOME!$A$9,"",IF(B26&gt;Regasification!$D$25+HOME!$A$9,"",K26/(1+Regasification!$D$26)^C26)))</f>
        <v/>
      </c>
    </row>
    <row r="27" spans="2:14">
      <c r="B27" s="89">
        <v>2045</v>
      </c>
      <c r="C27" s="90" t="str">
        <f>IF(B27=HOME!$A$9,B27-HOME!$A$9,IF(B27&lt;HOME!$A$9,"",IF(B27&gt;HOME!$A$9+Regasification!$D$25,"",B27-HOME!$A$9)))</f>
        <v/>
      </c>
      <c r="D27" s="91" t="str" cm="1">
        <f t="array" ref="D27">IF(B27=HOME!$A$9,"",IF(B27&lt;HOME!$A$9,"",IF(B27&gt;Regasification!$D$25+HOME!$A$9,"",INDEX(Tb_Fuel[],MATCH(B27,Tb_Fuel[Year],0),HLOOKUP(Regasification!$E$12&amp;" - Grid",'Fuel Data'!$BB$2:$BX$3,2,FALSE)+1))))</f>
        <v/>
      </c>
      <c r="E27" s="91" t="str">
        <f>IF(B27=HOME!$A$9,Regasification!$D$30,IF(B27&lt;HOME!$A$9,"",IF(B27&gt;Regasification!$D$25+HOME!$A$9,"",0)))</f>
        <v/>
      </c>
      <c r="F27" s="91" t="str">
        <f>IF(B27=HOME!$A$9,0,IF(B27&lt;HOME!$A$9,"",IF(B27&gt;Regasification!$D$25+HOME!$A$9,"",Regasification!$D$30*Regasification!$D$24)))</f>
        <v/>
      </c>
      <c r="G27" s="91" t="str">
        <f>IF(B27=HOME!$A$9,0,IF(B27&lt;HOME!$A$9,"",IF(B27&gt;Regasification!$D$25+HOME!$A$9,"",D27/10^6*Regasification!$D$34*1000)))</f>
        <v/>
      </c>
      <c r="H27" s="92" t="str">
        <f>IF(B27=HOME!$A$9,SUM(E27:G27),IF(B27&lt;HOME!$A$9,"",IF(B27&gt;Regasification!$D$25+HOME!$A$9,"",SUM(E27:G27))))</f>
        <v/>
      </c>
      <c r="I27" s="91" t="str">
        <f>IF(B27=HOME!$A$9,G27/(1+Regasification!$D$26)^C27,IF(B27&lt;HOME!$A$9,"",IF(B27&gt;Regasification!$D$25+HOME!$A$9,"",G27/(1+Regasification!$D$26)^C27)))</f>
        <v/>
      </c>
      <c r="J27" s="91" t="str">
        <f>IF(B27=HOME!$A$9,H27/(1+Regasification!$D$26)^C27,IF(B27&lt;HOME!$A$9,"",IF(B27&gt;Regasification!$D$25+HOME!$A$9,"",H27/(1+Regasification!$D$26)^C27)))</f>
        <v/>
      </c>
      <c r="K27" s="128" t="str">
        <f>IF(B27=HOME!$A$9,0,IF(B27&lt;HOME!$A$9,"",IF(B27&gt;Regasification!$D$25+HOME!$A$9,"",Regasification!$D$35)))</f>
        <v/>
      </c>
      <c r="L27" s="121" t="str">
        <f>IF(B27=HOME!$A$9,K27/(1+Regasification!$D$26)^C27,IF(B27&lt;HOME!$A$9,"",IF(B27&gt;Regasification!$D$25+HOME!$A$9,"",K27/(1+Regasification!$D$26)^C27)))</f>
        <v/>
      </c>
    </row>
    <row r="28" spans="2:14">
      <c r="B28" s="89">
        <v>2046</v>
      </c>
      <c r="C28" s="90" t="str">
        <f>IF(B28=HOME!$A$9,B28-HOME!$A$9,IF(B28&lt;HOME!$A$9,"",IF(B28&gt;HOME!$A$9+Regasification!$D$25,"",B28-HOME!$A$9)))</f>
        <v/>
      </c>
      <c r="D28" s="91" t="str" cm="1">
        <f t="array" ref="D28">IF(B28=HOME!$A$9,"",IF(B28&lt;HOME!$A$9,"",IF(B28&gt;Regasification!$D$25+HOME!$A$9,"",INDEX(Tb_Fuel[],MATCH(B28,Tb_Fuel[Year],0),HLOOKUP(Regasification!$E$12&amp;" - Grid",'Fuel Data'!$BB$2:$BX$3,2,FALSE)+1))))</f>
        <v/>
      </c>
      <c r="E28" s="91" t="str">
        <f>IF(B28=HOME!$A$9,Regasification!$D$30,IF(B28&lt;HOME!$A$9,"",IF(B28&gt;Regasification!$D$25+HOME!$A$9,"",0)))</f>
        <v/>
      </c>
      <c r="F28" s="91" t="str">
        <f>IF(B28=HOME!$A$9,0,IF(B28&lt;HOME!$A$9,"",IF(B28&gt;Regasification!$D$25+HOME!$A$9,"",Regasification!$D$30*Regasification!$D$24)))</f>
        <v/>
      </c>
      <c r="G28" s="91" t="str">
        <f>IF(B28=HOME!$A$9,0,IF(B28&lt;HOME!$A$9,"",IF(B28&gt;Regasification!$D$25+HOME!$A$9,"",D28/10^6*Regasification!$D$34*1000)))</f>
        <v/>
      </c>
      <c r="H28" s="92" t="str">
        <f>IF(B28=HOME!$A$9,SUM(E28:G28),IF(B28&lt;HOME!$A$9,"",IF(B28&gt;Regasification!$D$25+HOME!$A$9,"",SUM(E28:G28))))</f>
        <v/>
      </c>
      <c r="I28" s="91" t="str">
        <f>IF(B28=HOME!$A$9,G28/(1+Regasification!$D$26)^C28,IF(B28&lt;HOME!$A$9,"",IF(B28&gt;Regasification!$D$25+HOME!$A$9,"",G28/(1+Regasification!$D$26)^C28)))</f>
        <v/>
      </c>
      <c r="J28" s="91" t="str">
        <f>IF(B28=HOME!$A$9,H28/(1+Regasification!$D$26)^C28,IF(B28&lt;HOME!$A$9,"",IF(B28&gt;Regasification!$D$25+HOME!$A$9,"",H28/(1+Regasification!$D$26)^C28)))</f>
        <v/>
      </c>
      <c r="K28" s="128" t="str">
        <f>IF(B28=HOME!$A$9,0,IF(B28&lt;HOME!$A$9,"",IF(B28&gt;Regasification!$D$25+HOME!$A$9,"",Regasification!$D$35)))</f>
        <v/>
      </c>
      <c r="L28" s="121" t="str">
        <f>IF(B28=HOME!$A$9,K28/(1+Regasification!$D$26)^C28,IF(B28&lt;HOME!$A$9,"",IF(B28&gt;Regasification!$D$25+HOME!$A$9,"",K28/(1+Regasification!$D$26)^C28)))</f>
        <v/>
      </c>
    </row>
    <row r="29" spans="2:14">
      <c r="B29" s="89">
        <v>2047</v>
      </c>
      <c r="C29" s="90" t="str">
        <f>IF(B29=HOME!$A$9,B29-HOME!$A$9,IF(B29&lt;HOME!$A$9,"",IF(B29&gt;HOME!$A$9+Regasification!$D$25,"",B29-HOME!$A$9)))</f>
        <v/>
      </c>
      <c r="D29" s="91" t="str" cm="1">
        <f t="array" ref="D29">IF(B29=HOME!$A$9,"",IF(B29&lt;HOME!$A$9,"",IF(B29&gt;Regasification!$D$25+HOME!$A$9,"",INDEX(Tb_Fuel[],MATCH(B29,Tb_Fuel[Year],0),HLOOKUP(Regasification!$E$12&amp;" - Grid",'Fuel Data'!$BB$2:$BX$3,2,FALSE)+1))))</f>
        <v/>
      </c>
      <c r="E29" s="91" t="str">
        <f>IF(B29=HOME!$A$9,Regasification!$D$30,IF(B29&lt;HOME!$A$9,"",IF(B29&gt;Regasification!$D$25+HOME!$A$9,"",0)))</f>
        <v/>
      </c>
      <c r="F29" s="91" t="str">
        <f>IF(B29=HOME!$A$9,0,IF(B29&lt;HOME!$A$9,"",IF(B29&gt;Regasification!$D$25+HOME!$A$9,"",Regasification!$D$30*Regasification!$D$24)))</f>
        <v/>
      </c>
      <c r="G29" s="91" t="str">
        <f>IF(B29=HOME!$A$9,0,IF(B29&lt;HOME!$A$9,"",IF(B29&gt;Regasification!$D$25+HOME!$A$9,"",D29/10^6*Regasification!$D$34*1000)))</f>
        <v/>
      </c>
      <c r="H29" s="92" t="str">
        <f>IF(B29=HOME!$A$9,SUM(E29:G29),IF(B29&lt;HOME!$A$9,"",IF(B29&gt;Regasification!$D$25+HOME!$A$9,"",SUM(E29:G29))))</f>
        <v/>
      </c>
      <c r="I29" s="91" t="str">
        <f>IF(B29=HOME!$A$9,G29/(1+Regasification!$D$26)^C29,IF(B29&lt;HOME!$A$9,"",IF(B29&gt;Regasification!$D$25+HOME!$A$9,"",G29/(1+Regasification!$D$26)^C29)))</f>
        <v/>
      </c>
      <c r="J29" s="91" t="str">
        <f>IF(B29=HOME!$A$9,H29/(1+Regasification!$D$26)^C29,IF(B29&lt;HOME!$A$9,"",IF(B29&gt;Regasification!$D$25+HOME!$A$9,"",H29/(1+Regasification!$D$26)^C29)))</f>
        <v/>
      </c>
      <c r="K29" s="128" t="str">
        <f>IF(B29=HOME!$A$9,0,IF(B29&lt;HOME!$A$9,"",IF(B29&gt;Regasification!$D$25+HOME!$A$9,"",Regasification!$D$35)))</f>
        <v/>
      </c>
      <c r="L29" s="121" t="str">
        <f>IF(B29=HOME!$A$9,K29/(1+Regasification!$D$26)^C29,IF(B29&lt;HOME!$A$9,"",IF(B29&gt;Regasification!$D$25+HOME!$A$9,"",K29/(1+Regasification!$D$26)^C29)))</f>
        <v/>
      </c>
    </row>
    <row r="30" spans="2:14">
      <c r="B30" s="89">
        <v>2048</v>
      </c>
      <c r="C30" s="90" t="str">
        <f>IF(B30=HOME!$A$9,B30-HOME!$A$9,IF(B30&lt;HOME!$A$9,"",IF(B30&gt;HOME!$A$9+Regasification!$D$25,"",B30-HOME!$A$9)))</f>
        <v/>
      </c>
      <c r="D30" s="91" t="str" cm="1">
        <f t="array" ref="D30">IF(B30=HOME!$A$9,"",IF(B30&lt;HOME!$A$9,"",IF(B30&gt;Regasification!$D$25+HOME!$A$9,"",INDEX(Tb_Fuel[],MATCH(B30,Tb_Fuel[Year],0),HLOOKUP(Regasification!$E$12&amp;" - Grid",'Fuel Data'!$BB$2:$BX$3,2,FALSE)+1))))</f>
        <v/>
      </c>
      <c r="E30" s="91" t="str">
        <f>IF(B30=HOME!$A$9,Regasification!$D$30,IF(B30&lt;HOME!$A$9,"",IF(B30&gt;Regasification!$D$25+HOME!$A$9,"",0)))</f>
        <v/>
      </c>
      <c r="F30" s="91" t="str">
        <f>IF(B30=HOME!$A$9,0,IF(B30&lt;HOME!$A$9,"",IF(B30&gt;Regasification!$D$25+HOME!$A$9,"",Regasification!$D$30*Regasification!$D$24)))</f>
        <v/>
      </c>
      <c r="G30" s="91" t="str">
        <f>IF(B30=HOME!$A$9,0,IF(B30&lt;HOME!$A$9,"",IF(B30&gt;Regasification!$D$25+HOME!$A$9,"",D30/10^6*Regasification!$D$34*1000)))</f>
        <v/>
      </c>
      <c r="H30" s="92" t="str">
        <f>IF(B30=HOME!$A$9,SUM(E30:G30),IF(B30&lt;HOME!$A$9,"",IF(B30&gt;Regasification!$D$25+HOME!$A$9,"",SUM(E30:G30))))</f>
        <v/>
      </c>
      <c r="I30" s="91" t="str">
        <f>IF(B30=HOME!$A$9,G30/(1+Regasification!$D$26)^C30,IF(B30&lt;HOME!$A$9,"",IF(B30&gt;Regasification!$D$25+HOME!$A$9,"",G30/(1+Regasification!$D$26)^C30)))</f>
        <v/>
      </c>
      <c r="J30" s="91" t="str">
        <f>IF(B30=HOME!$A$9,H30/(1+Regasification!$D$26)^C30,IF(B30&lt;HOME!$A$9,"",IF(B30&gt;Regasification!$D$25+HOME!$A$9,"",H30/(1+Regasification!$D$26)^C30)))</f>
        <v/>
      </c>
      <c r="K30" s="128" t="str">
        <f>IF(B30=HOME!$A$9,0,IF(B30&lt;HOME!$A$9,"",IF(B30&gt;Regasification!$D$25+HOME!$A$9,"",Regasification!$D$35)))</f>
        <v/>
      </c>
      <c r="L30" s="121" t="str">
        <f>IF(B30=HOME!$A$9,K30/(1+Regasification!$D$26)^C30,IF(B30&lt;HOME!$A$9,"",IF(B30&gt;Regasification!$D$25+HOME!$A$9,"",K30/(1+Regasification!$D$26)^C30)))</f>
        <v/>
      </c>
    </row>
    <row r="31" spans="2:14">
      <c r="B31" s="89">
        <v>2049</v>
      </c>
      <c r="C31" s="90" t="str">
        <f>IF(B31=HOME!$A$9,B31-HOME!$A$9,IF(B31&lt;HOME!$A$9,"",IF(B31&gt;HOME!$A$9+Regasification!$D$25,"",B31-HOME!$A$9)))</f>
        <v/>
      </c>
      <c r="D31" s="91" t="str" cm="1">
        <f t="array" ref="D31">IF(B31=HOME!$A$9,"",IF(B31&lt;HOME!$A$9,"",IF(B31&gt;Regasification!$D$25+HOME!$A$9,"",INDEX(Tb_Fuel[],MATCH(B31,Tb_Fuel[Year],0),HLOOKUP(Regasification!$E$12&amp;" - Grid",'Fuel Data'!$BB$2:$BX$3,2,FALSE)+1))))</f>
        <v/>
      </c>
      <c r="E31" s="91" t="str">
        <f>IF(B31=HOME!$A$9,Regasification!$D$30,IF(B31&lt;HOME!$A$9,"",IF(B31&gt;Regasification!$D$25+HOME!$A$9,"",0)))</f>
        <v/>
      </c>
      <c r="F31" s="91" t="str">
        <f>IF(B31=HOME!$A$9,0,IF(B31&lt;HOME!$A$9,"",IF(B31&gt;Regasification!$D$25+HOME!$A$9,"",Regasification!$D$30*Regasification!$D$24)))</f>
        <v/>
      </c>
      <c r="G31" s="91" t="str">
        <f>IF(B31=HOME!$A$9,0,IF(B31&lt;HOME!$A$9,"",IF(B31&gt;Regasification!$D$25+HOME!$A$9,"",D31/10^6*Regasification!$D$34*1000)))</f>
        <v/>
      </c>
      <c r="H31" s="92" t="str">
        <f>IF(B31=HOME!$A$9,SUM(E31:G31),IF(B31&lt;HOME!$A$9,"",IF(B31&gt;Regasification!$D$25+HOME!$A$9,"",SUM(E31:G31))))</f>
        <v/>
      </c>
      <c r="I31" s="91" t="str">
        <f>IF(B31=HOME!$A$9,G31/(1+Regasification!$D$26)^C31,IF(B31&lt;HOME!$A$9,"",IF(B31&gt;Regasification!$D$25+HOME!$A$9,"",G31/(1+Regasification!$D$26)^C31)))</f>
        <v/>
      </c>
      <c r="J31" s="91" t="str">
        <f>IF(B31=HOME!$A$9,H31/(1+Regasification!$D$26)^C31,IF(B31&lt;HOME!$A$9,"",IF(B31&gt;Regasification!$D$25+HOME!$A$9,"",H31/(1+Regasification!$D$26)^C31)))</f>
        <v/>
      </c>
      <c r="K31" s="128" t="str">
        <f>IF(B31=HOME!$A$9,0,IF(B31&lt;HOME!$A$9,"",IF(B31&gt;Regasification!$D$25+HOME!$A$9,"",Regasification!$D$35)))</f>
        <v/>
      </c>
      <c r="L31" s="121" t="str">
        <f>IF(B31=HOME!$A$9,K31/(1+Regasification!$D$26)^C31,IF(B31&lt;HOME!$A$9,"",IF(B31&gt;Regasification!$D$25+HOME!$A$9,"",K31/(1+Regasification!$D$26)^C31)))</f>
        <v/>
      </c>
    </row>
    <row r="32" spans="2:14">
      <c r="B32" s="89">
        <v>2050</v>
      </c>
      <c r="C32" s="90" t="str">
        <f>IF(B32=HOME!$A$9,B32-HOME!$A$9,IF(B32&lt;HOME!$A$9,"",IF(B32&gt;HOME!$A$9+Regasification!$D$25,"",B32-HOME!$A$9)))</f>
        <v/>
      </c>
      <c r="D32" s="91" t="str" cm="1">
        <f t="array" ref="D32">IF(B32=HOME!$A$9,"",IF(B32&lt;HOME!$A$9,"",IF(B32&gt;Regasification!$D$25+HOME!$A$9,"",INDEX(Tb_Fuel[],MATCH(B32,Tb_Fuel[Year],0),HLOOKUP(Regasification!$E$12&amp;" - Grid",'Fuel Data'!$BB$2:$BX$3,2,FALSE)+1))))</f>
        <v/>
      </c>
      <c r="E32" s="91" t="str">
        <f>IF(B32=HOME!$A$9,Regasification!$D$30,IF(B32&lt;HOME!$A$9,"",IF(B32&gt;Regasification!$D$25+HOME!$A$9,"",0)))</f>
        <v/>
      </c>
      <c r="F32" s="91" t="str">
        <f>IF(B32=HOME!$A$9,0,IF(B32&lt;HOME!$A$9,"",IF(B32&gt;Regasification!$D$25+HOME!$A$9,"",Regasification!$D$30*Regasification!$D$24)))</f>
        <v/>
      </c>
      <c r="G32" s="91" t="str">
        <f>IF(B32=HOME!$A$9,0,IF(B32&lt;HOME!$A$9,"",IF(B32&gt;Regasification!$D$25+HOME!$A$9,"",D32/10^6*Regasification!$D$34*1000)))</f>
        <v/>
      </c>
      <c r="H32" s="92" t="str">
        <f>IF(B32=HOME!$A$9,SUM(E32:G32),IF(B32&lt;HOME!$A$9,"",IF(B32&gt;Regasification!$D$25+HOME!$A$9,"",SUM(E32:G32))))</f>
        <v/>
      </c>
      <c r="I32" s="91" t="str">
        <f>IF(B32=HOME!$A$9,G32/(1+Regasification!$D$26)^C32,IF(B32&lt;HOME!$A$9,"",IF(B32&gt;Regasification!$D$25+HOME!$A$9,"",G32/(1+Regasification!$D$26)^C32)))</f>
        <v/>
      </c>
      <c r="J32" s="91" t="str">
        <f>IF(B32=HOME!$A$9,H32/(1+Regasification!$D$26)^C32,IF(B32&lt;HOME!$A$9,"",IF(B32&gt;Regasification!$D$25+HOME!$A$9,"",H32/(1+Regasification!$D$26)^C32)))</f>
        <v/>
      </c>
      <c r="K32" s="128" t="str">
        <f>IF(B32=HOME!$A$9,0,IF(B32&lt;HOME!$A$9,"",IF(B32&gt;Regasification!$D$25+HOME!$A$9,"",Regasification!$D$35)))</f>
        <v/>
      </c>
      <c r="L32" s="121" t="str">
        <f>IF(B32=HOME!$A$9,K32/(1+Regasification!$D$26)^C32,IF(B32&lt;HOME!$A$9,"",IF(B32&gt;Regasification!$D$25+HOME!$A$9,"",K32/(1+Regasification!$D$26)^C32)))</f>
        <v/>
      </c>
    </row>
    <row r="33" spans="2:12">
      <c r="B33" s="89">
        <v>2051</v>
      </c>
      <c r="C33" s="90" t="str">
        <f>IF(B33=HOME!$A$9,B33-HOME!$A$9,IF(B33&lt;HOME!$A$9,"",IF(B33&gt;HOME!$A$9+Regasification!$D$25,"",B33-HOME!$A$9)))</f>
        <v/>
      </c>
      <c r="D33" s="91" t="str" cm="1">
        <f t="array" ref="D33">IF(B33=HOME!$A$9,"",IF(B33&lt;HOME!$A$9,"",IF(B33&gt;Regasification!$D$25+HOME!$A$9,"",INDEX(Tb_Fuel[],MATCH(B33,Tb_Fuel[Year],0),HLOOKUP(Regasification!$E$12&amp;" - Grid",'Fuel Data'!$BB$2:$BX$3,2,FALSE)+1))))</f>
        <v/>
      </c>
      <c r="E33" s="91" t="str">
        <f>IF(B33=HOME!$A$9,Regasification!$D$30,IF(B33&lt;HOME!$A$9,"",IF(B33&gt;Regasification!$D$25+HOME!$A$9,"",0)))</f>
        <v/>
      </c>
      <c r="F33" s="91" t="str">
        <f>IF(B33=HOME!$A$9,0,IF(B33&lt;HOME!$A$9,"",IF(B33&gt;Regasification!$D$25+HOME!$A$9,"",Regasification!$D$30*Regasification!$D$24)))</f>
        <v/>
      </c>
      <c r="G33" s="91" t="str">
        <f>IF(B33=HOME!$A$9,0,IF(B33&lt;HOME!$A$9,"",IF(B33&gt;Regasification!$D$25+HOME!$A$9,"",D33/10^6*Regasification!$D$34*1000)))</f>
        <v/>
      </c>
      <c r="H33" s="92" t="str">
        <f>IF(B33=HOME!$A$9,SUM(E33:G33),IF(B33&lt;HOME!$A$9,"",IF(B33&gt;Regasification!$D$25+HOME!$A$9,"",SUM(E33:G33))))</f>
        <v/>
      </c>
      <c r="I33" s="91" t="str">
        <f>IF(B33=HOME!$A$9,G33/(1+Regasification!$D$26)^C33,IF(B33&lt;HOME!$A$9,"",IF(B33&gt;Regasification!$D$25+HOME!$A$9,"",G33/(1+Regasification!$D$26)^C33)))</f>
        <v/>
      </c>
      <c r="J33" s="91" t="str">
        <f>IF(B33=HOME!$A$9,H33/(1+Regasification!$D$26)^C33,IF(B33&lt;HOME!$A$9,"",IF(B33&gt;Regasification!$D$25+HOME!$A$9,"",H33/(1+Regasification!$D$26)^C33)))</f>
        <v/>
      </c>
      <c r="K33" s="128" t="str">
        <f>IF(B33=HOME!$A$9,0,IF(B33&lt;HOME!$A$9,"",IF(B33&gt;Regasification!$D$25+HOME!$A$9,"",Regasification!$D$35)))</f>
        <v/>
      </c>
      <c r="L33" s="121" t="str">
        <f>IF(B33=HOME!$A$9,K33/(1+Regasification!$D$26)^C33,IF(B33&lt;HOME!$A$9,"",IF(B33&gt;Regasification!$D$25+HOME!$A$9,"",K33/(1+Regasification!$D$26)^C33)))</f>
        <v/>
      </c>
    </row>
    <row r="34" spans="2:12">
      <c r="B34" s="89">
        <v>2052</v>
      </c>
      <c r="C34" s="90" t="str">
        <f>IF(B34=HOME!$A$9,B34-HOME!$A$9,IF(B34&lt;HOME!$A$9,"",IF(B34&gt;HOME!$A$9+Regasification!$D$25,"",B34-HOME!$A$9)))</f>
        <v/>
      </c>
      <c r="D34" s="91" t="str" cm="1">
        <f t="array" ref="D34">IF(B34=HOME!$A$9,"",IF(B34&lt;HOME!$A$9,"",IF(B34&gt;Regasification!$D$25+HOME!$A$9,"",INDEX(Tb_Fuel[],MATCH(B34,Tb_Fuel[Year],0),HLOOKUP(Regasification!$E$12&amp;" - Grid",'Fuel Data'!$BB$2:$BX$3,2,FALSE)+1))))</f>
        <v/>
      </c>
      <c r="E34" s="91" t="str">
        <f>IF(B34=HOME!$A$9,Regasification!$D$30,IF(B34&lt;HOME!$A$9,"",IF(B34&gt;Regasification!$D$25+HOME!$A$9,"",0)))</f>
        <v/>
      </c>
      <c r="F34" s="91" t="str">
        <f>IF(B34=HOME!$A$9,0,IF(B34&lt;HOME!$A$9,"",IF(B34&gt;Regasification!$D$25+HOME!$A$9,"",Regasification!$D$30*Regasification!$D$24)))</f>
        <v/>
      </c>
      <c r="G34" s="91" t="str">
        <f>IF(B34=HOME!$A$9,0,IF(B34&lt;HOME!$A$9,"",IF(B34&gt;Regasification!$D$25+HOME!$A$9,"",D34/10^6*Regasification!$D$34*1000)))</f>
        <v/>
      </c>
      <c r="H34" s="92" t="str">
        <f>IF(B34=HOME!$A$9,SUM(E34:G34),IF(B34&lt;HOME!$A$9,"",IF(B34&gt;Regasification!$D$25+HOME!$A$9,"",SUM(E34:G34))))</f>
        <v/>
      </c>
      <c r="I34" s="91" t="str">
        <f>IF(B34=HOME!$A$9,G34/(1+Regasification!$D$26)^C34,IF(B34&lt;HOME!$A$9,"",IF(B34&gt;Regasification!$D$25+HOME!$A$9,"",G34/(1+Regasification!$D$26)^C34)))</f>
        <v/>
      </c>
      <c r="J34" s="91" t="str">
        <f>IF(B34=HOME!$A$9,H34/(1+Regasification!$D$26)^C34,IF(B34&lt;HOME!$A$9,"",IF(B34&gt;Regasification!$D$25+HOME!$A$9,"",H34/(1+Regasification!$D$26)^C34)))</f>
        <v/>
      </c>
      <c r="K34" s="128" t="str">
        <f>IF(B34=HOME!$A$9,0,IF(B34&lt;HOME!$A$9,"",IF(B34&gt;Regasification!$D$25+HOME!$A$9,"",Regasification!$D$35)))</f>
        <v/>
      </c>
      <c r="L34" s="121" t="str">
        <f>IF(B34=HOME!$A$9,K34/(1+Regasification!$D$26)^C34,IF(B34&lt;HOME!$A$9,"",IF(B34&gt;Regasification!$D$25+HOME!$A$9,"",K34/(1+Regasification!$D$26)^C34)))</f>
        <v/>
      </c>
    </row>
    <row r="35" spans="2:12">
      <c r="B35" s="89">
        <v>2053</v>
      </c>
      <c r="C35" s="90" t="str">
        <f>IF(B35=HOME!$A$9,B35-HOME!$A$9,IF(B35&lt;HOME!$A$9,"",IF(B35&gt;HOME!$A$9+Regasification!$D$25,"",B35-HOME!$A$9)))</f>
        <v/>
      </c>
      <c r="D35" s="91" t="str" cm="1">
        <f t="array" ref="D35">IF(B35=HOME!$A$9,"",IF(B35&lt;HOME!$A$9,"",IF(B35&gt;Regasification!$D$25+HOME!$A$9,"",INDEX(Tb_Fuel[],MATCH(B35,Tb_Fuel[Year],0),HLOOKUP(Regasification!$E$12&amp;" - Grid",'Fuel Data'!$BB$2:$BX$3,2,FALSE)+1))))</f>
        <v/>
      </c>
      <c r="E35" s="91" t="str">
        <f>IF(B35=HOME!$A$9,Regasification!$D$30,IF(B35&lt;HOME!$A$9,"",IF(B35&gt;Regasification!$D$25+HOME!$A$9,"",0)))</f>
        <v/>
      </c>
      <c r="F35" s="91" t="str">
        <f>IF(B35=HOME!$A$9,0,IF(B35&lt;HOME!$A$9,"",IF(B35&gt;Regasification!$D$25+HOME!$A$9,"",Regasification!$D$30*Regasification!$D$24)))</f>
        <v/>
      </c>
      <c r="G35" s="91" t="str">
        <f>IF(B35=HOME!$A$9,0,IF(B35&lt;HOME!$A$9,"",IF(B35&gt;Regasification!$D$25+HOME!$A$9,"",D35/10^6*Regasification!$D$34*1000)))</f>
        <v/>
      </c>
      <c r="H35" s="92" t="str">
        <f>IF(B35=HOME!$A$9,SUM(E35:G35),IF(B35&lt;HOME!$A$9,"",IF(B35&gt;Regasification!$D$25+HOME!$A$9,"",SUM(E35:G35))))</f>
        <v/>
      </c>
      <c r="I35" s="91" t="str">
        <f>IF(B35=HOME!$A$9,G35/(1+Regasification!$D$26)^C35,IF(B35&lt;HOME!$A$9,"",IF(B35&gt;Regasification!$D$25+HOME!$A$9,"",G35/(1+Regasification!$D$26)^C35)))</f>
        <v/>
      </c>
      <c r="J35" s="91" t="str">
        <f>IF(B35=HOME!$A$9,H35/(1+Regasification!$D$26)^C35,IF(B35&lt;HOME!$A$9,"",IF(B35&gt;Regasification!$D$25+HOME!$A$9,"",H35/(1+Regasification!$D$26)^C35)))</f>
        <v/>
      </c>
      <c r="K35" s="128" t="str">
        <f>IF(B35=HOME!$A$9,0,IF(B35&lt;HOME!$A$9,"",IF(B35&gt;Regasification!$D$25+HOME!$A$9,"",Regasification!$D$35)))</f>
        <v/>
      </c>
      <c r="L35" s="121" t="str">
        <f>IF(B35=HOME!$A$9,K35/(1+Regasification!$D$26)^C35,IF(B35&lt;HOME!$A$9,"",IF(B35&gt;Regasification!$D$25+HOME!$A$9,"",K35/(1+Regasification!$D$26)^C35)))</f>
        <v/>
      </c>
    </row>
    <row r="36" spans="2:12">
      <c r="B36" s="89">
        <v>2054</v>
      </c>
      <c r="C36" s="90" t="str">
        <f>IF(B36=HOME!$A$9,B36-HOME!$A$9,IF(B36&lt;HOME!$A$9,"",IF(B36&gt;HOME!$A$9+Regasification!$D$25,"",B36-HOME!$A$9)))</f>
        <v/>
      </c>
      <c r="D36" s="91" t="str" cm="1">
        <f t="array" ref="D36">IF(B36=HOME!$A$9,"",IF(B36&lt;HOME!$A$9,"",IF(B36&gt;Regasification!$D$25+HOME!$A$9,"",INDEX(Tb_Fuel[],MATCH(B36,Tb_Fuel[Year],0),HLOOKUP(Regasification!$E$12&amp;" - Grid",'Fuel Data'!$BB$2:$BX$3,2,FALSE)+1))))</f>
        <v/>
      </c>
      <c r="E36" s="91" t="str">
        <f>IF(B36=HOME!$A$9,Regasification!$D$30,IF(B36&lt;HOME!$A$9,"",IF(B36&gt;Regasification!$D$25+HOME!$A$9,"",0)))</f>
        <v/>
      </c>
      <c r="F36" s="91" t="str">
        <f>IF(B36=HOME!$A$9,0,IF(B36&lt;HOME!$A$9,"",IF(B36&gt;Regasification!$D$25+HOME!$A$9,"",Regasification!$D$30*Regasification!$D$24)))</f>
        <v/>
      </c>
      <c r="G36" s="91" t="str">
        <f>IF(B36=HOME!$A$9,0,IF(B36&lt;HOME!$A$9,"",IF(B36&gt;Regasification!$D$25+HOME!$A$9,"",D36/10^6*Regasification!$D$34*1000)))</f>
        <v/>
      </c>
      <c r="H36" s="92" t="str">
        <f>IF(B36=HOME!$A$9,SUM(E36:G36),IF(B36&lt;HOME!$A$9,"",IF(B36&gt;Regasification!$D$25+HOME!$A$9,"",SUM(E36:G36))))</f>
        <v/>
      </c>
      <c r="I36" s="91" t="str">
        <f>IF(B36=HOME!$A$9,G36/(1+Regasification!$D$26)^C36,IF(B36&lt;HOME!$A$9,"",IF(B36&gt;Regasification!$D$25+HOME!$A$9,"",G36/(1+Regasification!$D$26)^C36)))</f>
        <v/>
      </c>
      <c r="J36" s="91" t="str">
        <f>IF(B36=HOME!$A$9,H36/(1+Regasification!$D$26)^C36,IF(B36&lt;HOME!$A$9,"",IF(B36&gt;Regasification!$D$25+HOME!$A$9,"",H36/(1+Regasification!$D$26)^C36)))</f>
        <v/>
      </c>
      <c r="K36" s="128" t="str">
        <f>IF(B36=HOME!$A$9,0,IF(B36&lt;HOME!$A$9,"",IF(B36&gt;Regasification!$D$25+HOME!$A$9,"",Regasification!$D$35)))</f>
        <v/>
      </c>
      <c r="L36" s="121" t="str">
        <f>IF(B36=HOME!$A$9,K36/(1+Regasification!$D$26)^C36,IF(B36&lt;HOME!$A$9,"",IF(B36&gt;Regasification!$D$25+HOME!$A$9,"",K36/(1+Regasification!$D$26)^C36)))</f>
        <v/>
      </c>
    </row>
    <row r="37" spans="2:12">
      <c r="B37" s="89">
        <v>2055</v>
      </c>
      <c r="C37" s="90" t="str">
        <f>IF(B37=HOME!$A$9,B37-HOME!$A$9,IF(B37&lt;HOME!$A$9,"",IF(B37&gt;HOME!$A$9+Regasification!$D$25,"",B37-HOME!$A$9)))</f>
        <v/>
      </c>
      <c r="D37" s="91" t="str" cm="1">
        <f t="array" ref="D37">IF(B37=HOME!$A$9,"",IF(B37&lt;HOME!$A$9,"",IF(B37&gt;Regasification!$D$25+HOME!$A$9,"",INDEX(Tb_Fuel[],MATCH(B37,Tb_Fuel[Year],0),HLOOKUP(Regasification!$E$12&amp;" - Grid",'Fuel Data'!$BB$2:$BX$3,2,FALSE)+1))))</f>
        <v/>
      </c>
      <c r="E37" s="91" t="str">
        <f>IF(B37=HOME!$A$9,Regasification!$D$30,IF(B37&lt;HOME!$A$9,"",IF(B37&gt;Regasification!$D$25+HOME!$A$9,"",0)))</f>
        <v/>
      </c>
      <c r="F37" s="91" t="str">
        <f>IF(B37=HOME!$A$9,0,IF(B37&lt;HOME!$A$9,"",IF(B37&gt;Regasification!$D$25+HOME!$A$9,"",Regasification!$D$30*Regasification!$D$24)))</f>
        <v/>
      </c>
      <c r="G37" s="91" t="str">
        <f>IF(B37=HOME!$A$9,0,IF(B37&lt;HOME!$A$9,"",IF(B37&gt;Regasification!$D$25+HOME!$A$9,"",D37/10^6*Regasification!$D$34*1000)))</f>
        <v/>
      </c>
      <c r="H37" s="92" t="str">
        <f>IF(B37=HOME!$A$9,SUM(E37:G37),IF(B37&lt;HOME!$A$9,"",IF(B37&gt;Regasification!$D$25+HOME!$A$9,"",SUM(E37:G37))))</f>
        <v/>
      </c>
      <c r="I37" s="91" t="str">
        <f>IF(B37=HOME!$A$9,G37/(1+Regasification!$D$26)^C37,IF(B37&lt;HOME!$A$9,"",IF(B37&gt;Regasification!$D$25+HOME!$A$9,"",G37/(1+Regasification!$D$26)^C37)))</f>
        <v/>
      </c>
      <c r="J37" s="91" t="str">
        <f>IF(B37=HOME!$A$9,H37/(1+Regasification!$D$26)^C37,IF(B37&lt;HOME!$A$9,"",IF(B37&gt;Regasification!$D$25+HOME!$A$9,"",H37/(1+Regasification!$D$26)^C37)))</f>
        <v/>
      </c>
      <c r="K37" s="128" t="str">
        <f>IF(B37=HOME!$A$9,0,IF(B37&lt;HOME!$A$9,"",IF(B37&gt;Regasification!$D$25+HOME!$A$9,"",Regasification!$D$35)))</f>
        <v/>
      </c>
      <c r="L37" s="121" t="str">
        <f>IF(B37=HOME!$A$9,K37/(1+Regasification!$D$26)^C37,IF(B37&lt;HOME!$A$9,"",IF(B37&gt;Regasification!$D$25+HOME!$A$9,"",K37/(1+Regasification!$D$26)^C37)))</f>
        <v/>
      </c>
    </row>
    <row r="38" spans="2:12">
      <c r="B38" s="89">
        <v>2056</v>
      </c>
      <c r="C38" s="90" t="str">
        <f>IF(B38=HOME!$A$9,B38-HOME!$A$9,IF(B38&lt;HOME!$A$9,"",IF(B38&gt;HOME!$A$9+Regasification!$D$25,"",B38-HOME!$A$9)))</f>
        <v/>
      </c>
      <c r="D38" s="91" t="str" cm="1">
        <f t="array" ref="D38">IF(B38=HOME!$A$9,"",IF(B38&lt;HOME!$A$9,"",IF(B38&gt;Regasification!$D$25+HOME!$A$9,"",INDEX(Tb_Fuel[],MATCH(B38,Tb_Fuel[Year],0),HLOOKUP(Regasification!$E$12&amp;" - Grid",'Fuel Data'!$BB$2:$BX$3,2,FALSE)+1))))</f>
        <v/>
      </c>
      <c r="E38" s="91" t="str">
        <f>IF(B38=HOME!$A$9,Regasification!$D$30,IF(B38&lt;HOME!$A$9,"",IF(B38&gt;Regasification!$D$25+HOME!$A$9,"",0)))</f>
        <v/>
      </c>
      <c r="F38" s="91" t="str">
        <f>IF(B38=HOME!$A$9,0,IF(B38&lt;HOME!$A$9,"",IF(B38&gt;Regasification!$D$25+HOME!$A$9,"",Regasification!$D$30*Regasification!$D$24)))</f>
        <v/>
      </c>
      <c r="G38" s="91" t="str">
        <f>IF(B38=HOME!$A$9,0,IF(B38&lt;HOME!$A$9,"",IF(B38&gt;Regasification!$D$25+HOME!$A$9,"",D38/10^6*Regasification!$D$34*1000)))</f>
        <v/>
      </c>
      <c r="H38" s="92" t="str">
        <f>IF(B38=HOME!$A$9,SUM(E38:G38),IF(B38&lt;HOME!$A$9,"",IF(B38&gt;Regasification!$D$25+HOME!$A$9,"",SUM(E38:G38))))</f>
        <v/>
      </c>
      <c r="I38" s="91" t="str">
        <f>IF(B38=HOME!$A$9,G38/(1+Regasification!$D$26)^C38,IF(B38&lt;HOME!$A$9,"",IF(B38&gt;Regasification!$D$25+HOME!$A$9,"",G38/(1+Regasification!$D$26)^C38)))</f>
        <v/>
      </c>
      <c r="J38" s="91" t="str">
        <f>IF(B38=HOME!$A$9,H38/(1+Regasification!$D$26)^C38,IF(B38&lt;HOME!$A$9,"",IF(B38&gt;Regasification!$D$25+HOME!$A$9,"",H38/(1+Regasification!$D$26)^C38)))</f>
        <v/>
      </c>
      <c r="K38" s="128" t="str">
        <f>IF(B38=HOME!$A$9,0,IF(B38&lt;HOME!$A$9,"",IF(B38&gt;Regasification!$D$25+HOME!$A$9,"",Regasification!$D$35)))</f>
        <v/>
      </c>
      <c r="L38" s="121" t="str">
        <f>IF(B38=HOME!$A$9,K38/(1+Regasification!$D$26)^C38,IF(B38&lt;HOME!$A$9,"",IF(B38&gt;Regasification!$D$25+HOME!$A$9,"",K38/(1+Regasification!$D$26)^C38)))</f>
        <v/>
      </c>
    </row>
    <row r="39" spans="2:12">
      <c r="B39" s="89">
        <v>2057</v>
      </c>
      <c r="C39" s="90" t="str">
        <f>IF(B39=HOME!$A$9,B39-HOME!$A$9,IF(B39&lt;HOME!$A$9,"",IF(B39&gt;HOME!$A$9+Regasification!$D$25,"",B39-HOME!$A$9)))</f>
        <v/>
      </c>
      <c r="D39" s="91" t="str" cm="1">
        <f t="array" ref="D39">IF(B39=HOME!$A$9,"",IF(B39&lt;HOME!$A$9,"",IF(B39&gt;Regasification!$D$25+HOME!$A$9,"",INDEX(Tb_Fuel[],MATCH(B39,Tb_Fuel[Year],0),HLOOKUP(Regasification!$E$12&amp;" - Grid",'Fuel Data'!$BB$2:$BX$3,2,FALSE)+1))))</f>
        <v/>
      </c>
      <c r="E39" s="91" t="str">
        <f>IF(B39=HOME!$A$9,Regasification!$D$30,IF(B39&lt;HOME!$A$9,"",IF(B39&gt;Regasification!$D$25+HOME!$A$9,"",0)))</f>
        <v/>
      </c>
      <c r="F39" s="91" t="str">
        <f>IF(B39=HOME!$A$9,0,IF(B39&lt;HOME!$A$9,"",IF(B39&gt;Regasification!$D$25+HOME!$A$9,"",Regasification!$D$30*Regasification!$D$24)))</f>
        <v/>
      </c>
      <c r="G39" s="91" t="str">
        <f>IF(B39=HOME!$A$9,0,IF(B39&lt;HOME!$A$9,"",IF(B39&gt;Regasification!$D$25+HOME!$A$9,"",D39/10^6*Regasification!$D$34*1000)))</f>
        <v/>
      </c>
      <c r="H39" s="92" t="str">
        <f>IF(B39=HOME!$A$9,SUM(E39:G39),IF(B39&lt;HOME!$A$9,"",IF(B39&gt;Regasification!$D$25+HOME!$A$9,"",SUM(E39:G39))))</f>
        <v/>
      </c>
      <c r="I39" s="91" t="str">
        <f>IF(B39=HOME!$A$9,G39/(1+Regasification!$D$26)^C39,IF(B39&lt;HOME!$A$9,"",IF(B39&gt;Regasification!$D$25+HOME!$A$9,"",G39/(1+Regasification!$D$26)^C39)))</f>
        <v/>
      </c>
      <c r="J39" s="91" t="str">
        <f>IF(B39=HOME!$A$9,H39/(1+Regasification!$D$26)^C39,IF(B39&lt;HOME!$A$9,"",IF(B39&gt;Regasification!$D$25+HOME!$A$9,"",H39/(1+Regasification!$D$26)^C39)))</f>
        <v/>
      </c>
      <c r="K39" s="128" t="str">
        <f>IF(B39=HOME!$A$9,0,IF(B39&lt;HOME!$A$9,"",IF(B39&gt;Regasification!$D$25+HOME!$A$9,"",Regasification!$D$35)))</f>
        <v/>
      </c>
      <c r="L39" s="121" t="str">
        <f>IF(B39=HOME!$A$9,K39/(1+Regasification!$D$26)^C39,IF(B39&lt;HOME!$A$9,"",IF(B39&gt;Regasification!$D$25+HOME!$A$9,"",K39/(1+Regasification!$D$26)^C39)))</f>
        <v/>
      </c>
    </row>
    <row r="40" spans="2:12">
      <c r="B40" s="89">
        <v>2058</v>
      </c>
      <c r="C40" s="90" t="str">
        <f>IF(B40=HOME!$A$9,B40-HOME!$A$9,IF(B40&lt;HOME!$A$9,"",IF(B40&gt;HOME!$A$9+Regasification!$D$25,"",B40-HOME!$A$9)))</f>
        <v/>
      </c>
      <c r="D40" s="91" t="str" cm="1">
        <f t="array" ref="D40">IF(B40=HOME!$A$9,"",IF(B40&lt;HOME!$A$9,"",IF(B40&gt;Regasification!$D$25+HOME!$A$9,"",INDEX(Tb_Fuel[],MATCH(B40,Tb_Fuel[Year],0),HLOOKUP(Regasification!$E$12&amp;" - Grid",'Fuel Data'!$BB$2:$BX$3,2,FALSE)+1))))</f>
        <v/>
      </c>
      <c r="E40" s="91" t="str">
        <f>IF(B40=HOME!$A$9,Regasification!$D$30,IF(B40&lt;HOME!$A$9,"",IF(B40&gt;Regasification!$D$25+HOME!$A$9,"",0)))</f>
        <v/>
      </c>
      <c r="F40" s="91" t="str">
        <f>IF(B40=HOME!$A$9,0,IF(B40&lt;HOME!$A$9,"",IF(B40&gt;Regasification!$D$25+HOME!$A$9,"",Regasification!$D$30*Regasification!$D$24)))</f>
        <v/>
      </c>
      <c r="G40" s="91" t="str">
        <f>IF(B40=HOME!$A$9,0,IF(B40&lt;HOME!$A$9,"",IF(B40&gt;Regasification!$D$25+HOME!$A$9,"",D40/10^6*Regasification!$D$34*1000)))</f>
        <v/>
      </c>
      <c r="H40" s="92" t="str">
        <f>IF(B40=HOME!$A$9,SUM(E40:G40),IF(B40&lt;HOME!$A$9,"",IF(B40&gt;Regasification!$D$25+HOME!$A$9,"",SUM(E40:G40))))</f>
        <v/>
      </c>
      <c r="I40" s="91" t="str">
        <f>IF(B40=HOME!$A$9,G40/(1+Regasification!$D$26)^C40,IF(B40&lt;HOME!$A$9,"",IF(B40&gt;Regasification!$D$25+HOME!$A$9,"",G40/(1+Regasification!$D$26)^C40)))</f>
        <v/>
      </c>
      <c r="J40" s="91" t="str">
        <f>IF(B40=HOME!$A$9,H40/(1+Regasification!$D$26)^C40,IF(B40&lt;HOME!$A$9,"",IF(B40&gt;Regasification!$D$25+HOME!$A$9,"",H40/(1+Regasification!$D$26)^C40)))</f>
        <v/>
      </c>
      <c r="K40" s="128" t="str">
        <f>IF(B40=HOME!$A$9,0,IF(B40&lt;HOME!$A$9,"",IF(B40&gt;Regasification!$D$25+HOME!$A$9,"",Regasification!$D$35)))</f>
        <v/>
      </c>
      <c r="L40" s="121" t="str">
        <f>IF(B40=HOME!$A$9,K40/(1+Regasification!$D$26)^C40,IF(B40&lt;HOME!$A$9,"",IF(B40&gt;Regasification!$D$25+HOME!$A$9,"",K40/(1+Regasification!$D$26)^C40)))</f>
        <v/>
      </c>
    </row>
    <row r="41" spans="2:12">
      <c r="B41" s="89">
        <v>2059</v>
      </c>
      <c r="C41" s="90" t="str">
        <f>IF(B41=HOME!$A$9,B41-HOME!$A$9,IF(B41&lt;HOME!$A$9,"",IF(B41&gt;HOME!$A$9+Regasification!$D$25,"",B41-HOME!$A$9)))</f>
        <v/>
      </c>
      <c r="D41" s="91" t="str" cm="1">
        <f t="array" ref="D41">IF(B41=HOME!$A$9,"",IF(B41&lt;HOME!$A$9,"",IF(B41&gt;Regasification!$D$25+HOME!$A$9,"",INDEX(Tb_Fuel[],MATCH(B41,Tb_Fuel[Year],0),HLOOKUP(Regasification!$E$12&amp;" - Grid",'Fuel Data'!$BB$2:$BX$3,2,FALSE)+1))))</f>
        <v/>
      </c>
      <c r="E41" s="91" t="str">
        <f>IF(B41=HOME!$A$9,Regasification!$D$30,IF(B41&lt;HOME!$A$9,"",IF(B41&gt;Regasification!$D$25+HOME!$A$9,"",0)))</f>
        <v/>
      </c>
      <c r="F41" s="91" t="str">
        <f>IF(B41=HOME!$A$9,0,IF(B41&lt;HOME!$A$9,"",IF(B41&gt;Regasification!$D$25+HOME!$A$9,"",Regasification!$D$30*Regasification!$D$24)))</f>
        <v/>
      </c>
      <c r="G41" s="91" t="str">
        <f>IF(B41=HOME!$A$9,0,IF(B41&lt;HOME!$A$9,"",IF(B41&gt;Regasification!$D$25+HOME!$A$9,"",D41/10^6*Regasification!$D$34*1000)))</f>
        <v/>
      </c>
      <c r="H41" s="92" t="str">
        <f>IF(B41=HOME!$A$9,SUM(E41:G41),IF(B41&lt;HOME!$A$9,"",IF(B41&gt;Regasification!$D$25+HOME!$A$9,"",SUM(E41:G41))))</f>
        <v/>
      </c>
      <c r="I41" s="91" t="str">
        <f>IF(B41=HOME!$A$9,G41/(1+Regasification!$D$26)^C41,IF(B41&lt;HOME!$A$9,"",IF(B41&gt;Regasification!$D$25+HOME!$A$9,"",G41/(1+Regasification!$D$26)^C41)))</f>
        <v/>
      </c>
      <c r="J41" s="91" t="str">
        <f>IF(B41=HOME!$A$9,H41/(1+Regasification!$D$26)^C41,IF(B41&lt;HOME!$A$9,"",IF(B41&gt;Regasification!$D$25+HOME!$A$9,"",H41/(1+Regasification!$D$26)^C41)))</f>
        <v/>
      </c>
      <c r="K41" s="128" t="str">
        <f>IF(B41=HOME!$A$9,0,IF(B41&lt;HOME!$A$9,"",IF(B41&gt;Regasification!$D$25+HOME!$A$9,"",Regasification!$D$35)))</f>
        <v/>
      </c>
      <c r="L41" s="121" t="str">
        <f>IF(B41=HOME!$A$9,K41/(1+Regasification!$D$26)^C41,IF(B41&lt;HOME!$A$9,"",IF(B41&gt;Regasification!$D$25+HOME!$A$9,"",K41/(1+Regasification!$D$26)^C41)))</f>
        <v/>
      </c>
    </row>
    <row r="42" spans="2:12" ht="17" thickBot="1">
      <c r="B42" s="93">
        <v>2060</v>
      </c>
      <c r="C42" s="94" t="str">
        <f>IF(B42=HOME!$A$9,B42-HOME!$A$9,IF(B42&lt;HOME!$A$9,"",IF(B42&gt;HOME!$A$9+Regasification!$D$25,"",B42-HOME!$A$9)))</f>
        <v/>
      </c>
      <c r="D42" s="95" t="str" cm="1">
        <f t="array" ref="D42">IF(B42=HOME!$A$9,"",IF(B42&lt;HOME!$A$9,"",IF(B42&gt;Regasification!$D$25+HOME!$A$9,"",INDEX(Tb_Fuel[],MATCH(B42,Tb_Fuel[Year],0),HLOOKUP(Regasification!$E$12&amp;" - Grid",'Fuel Data'!$BB$2:$BX$3,2,FALSE)+1))))</f>
        <v/>
      </c>
      <c r="E42" s="95" t="str">
        <f>IF(B42=HOME!$A$9,Regasification!$D$30,IF(B42&lt;HOME!$A$9,"",IF(B42&gt;Regasification!$D$25+HOME!$A$9,"",0)))</f>
        <v/>
      </c>
      <c r="F42" s="95" t="str">
        <f>IF(B42=HOME!$A$9,0,IF(B42&lt;HOME!$A$9,"",IF(B42&gt;Regasification!$D$25+HOME!$A$9,"",Regasification!$D$30*Regasification!$D$24)))</f>
        <v/>
      </c>
      <c r="G42" s="95" t="str">
        <f>IF(B42=HOME!$A$9,0,IF(B42&lt;HOME!$A$9,"",IF(B42&gt;Regasification!$D$25+HOME!$A$9,"",D42/10^6*Regasification!$D$34*1000)))</f>
        <v/>
      </c>
      <c r="H42" s="96" t="str">
        <f>IF(B42=HOME!$A$9,SUM(E42:G42),IF(B42&lt;HOME!$A$9,"",IF(B42&gt;Regasification!$D$25+HOME!$A$9,"",SUM(E42:G42))))</f>
        <v/>
      </c>
      <c r="I42" s="95" t="str">
        <f>IF(B42=HOME!$A$9,G42/(1+Regasification!$D$26)^C42,IF(B42&lt;HOME!$A$9,"",IF(B42&gt;Regasification!$D$25+HOME!$A$9,"",G42/(1+Regasification!$D$26)^C42)))</f>
        <v/>
      </c>
      <c r="J42" s="95" t="str">
        <f>IF(B42=HOME!$A$9,H42/(1+Regasification!$D$26)^C42,IF(B42&lt;HOME!$A$9,"",IF(B42&gt;Regasification!$D$25+HOME!$A$9,"",H42/(1+Regasification!$D$26)^C42)))</f>
        <v/>
      </c>
      <c r="K42" s="129" t="str">
        <f>IF(B42=HOME!$A$9,0,IF(B42&lt;HOME!$A$9,"",IF(B42&gt;Regasification!$D$25+HOME!$A$9,"",Regasification!$D$35)))</f>
        <v/>
      </c>
      <c r="L42" s="122" t="str">
        <f>IF(B42=HOME!$A$9,K42/(1+Regasification!$D$26)^C42,IF(B42&lt;HOME!$A$9,"",IF(B42&gt;Regasification!$D$25+HOME!$A$9,"",K42/(1+Regasification!$D$26)^C42)))</f>
        <v/>
      </c>
    </row>
    <row r="43" spans="2:12" ht="17" thickTop="1"/>
  </sheetData>
  <sheetProtection algorithmName="SHA-512" hashValue="Lt6dTwKWjySsInarsaYvqt2mrTWlEi1v8DUQlbFD8vBxKT/hHimkzw5pKj0hG4uYUsC/RtKbRKXKv1U5KeZSPQ==" saltValue="pQhkOgvcfMzLD/SL0eLstQ==" spinCount="100000" sheet="1" objects="1" scenarios="1"/>
  <hyperlinks>
    <hyperlink ref="A1" r:id="rId1" location="HOME!A1" display="applewebdata://31258B04-1677-4581-A769-CA032B874ED9/ - HOME!A1" xr:uid="{A981FE32-BC6A-4BC2-8B72-B62814104A4A}"/>
  </hyperlinks>
  <pageMargins left="0.7" right="0.7" top="0.75" bottom="0.75" header="0.3" footer="0.3"/>
  <pageSetup paperSize="9" orientation="portrait" verticalDpi="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9D75-AF65-4B0F-A60E-57AD704C2ED9}">
  <sheetPr>
    <tabColor theme="7" tint="0.59999389629810485"/>
  </sheetPr>
  <dimension ref="A1:L61"/>
  <sheetViews>
    <sheetView zoomScale="70" zoomScaleNormal="70" workbookViewId="0">
      <selection activeCell="K21" sqref="K21"/>
    </sheetView>
  </sheetViews>
  <sheetFormatPr baseColWidth="10" defaultColWidth="10.83203125" defaultRowHeight="16"/>
  <cols>
    <col min="1" max="1" width="15.33203125" style="2" customWidth="1"/>
    <col min="2" max="2" width="12" style="2" bestFit="1" customWidth="1"/>
    <col min="3" max="3" width="10.83203125" style="2"/>
    <col min="4" max="4" width="12" style="2" bestFit="1" customWidth="1"/>
    <col min="5" max="5" width="17" style="2" customWidth="1"/>
    <col min="6" max="6" width="74" style="2" bestFit="1" customWidth="1"/>
    <col min="7" max="7" width="22" style="2" customWidth="1"/>
    <col min="8" max="9" width="10.83203125" style="2"/>
    <col min="10" max="10" width="39" style="2" bestFit="1" customWidth="1"/>
    <col min="11" max="12" width="10.83203125" style="2"/>
    <col min="13" max="13" width="10.83203125" style="2" customWidth="1"/>
    <col min="14" max="16384" width="10.83203125" style="2"/>
  </cols>
  <sheetData>
    <row r="1" spans="1:12">
      <c r="A1" s="213" t="s">
        <v>234</v>
      </c>
      <c r="B1" s="236"/>
      <c r="C1" s="236"/>
      <c r="D1" s="236"/>
      <c r="E1" s="236"/>
      <c r="F1" s="236"/>
      <c r="G1" s="236"/>
    </row>
    <row r="2" spans="1:12" ht="17" thickBot="1">
      <c r="A2" s="236"/>
      <c r="B2" s="236"/>
      <c r="C2" s="236"/>
      <c r="D2" s="236"/>
      <c r="E2" s="236"/>
      <c r="F2" s="236"/>
      <c r="G2" s="236"/>
    </row>
    <row r="3" spans="1:12">
      <c r="A3" s="1190" t="s">
        <v>620</v>
      </c>
      <c r="B3" s="1191"/>
      <c r="C3" s="1191"/>
      <c r="D3" s="1191"/>
      <c r="E3" s="1191"/>
      <c r="F3" s="1191"/>
      <c r="G3" s="1298"/>
      <c r="J3" s="704" t="s">
        <v>473</v>
      </c>
      <c r="K3" s="705">
        <f>A5</f>
        <v>2.4404640243827989</v>
      </c>
      <c r="L3" s="280"/>
    </row>
    <row r="4" spans="1:12">
      <c r="A4" s="1193"/>
      <c r="B4" s="1194"/>
      <c r="C4" s="1194"/>
      <c r="D4" s="1194"/>
      <c r="E4" s="1194"/>
      <c r="F4" s="1194"/>
      <c r="G4" s="1299"/>
      <c r="J4" s="668" t="str">
        <f>Tb_Cpr24[[#Headers],[Conventional Liquefaction Plant]]</f>
        <v>Conventional Liquefaction Plant</v>
      </c>
      <c r="K4" s="706">
        <f t="dataTable" ref="K4:K5" dt2D="0" dtr="0" r1="E10"/>
        <v>2.4404640243827989</v>
      </c>
      <c r="L4" s="280"/>
    </row>
    <row r="5" spans="1:12" ht="17" thickBot="1">
      <c r="A5" s="1149">
        <f>D49</f>
        <v>2.4404640243827989</v>
      </c>
      <c r="B5" s="1150"/>
      <c r="C5" s="1150"/>
      <c r="D5" s="1150"/>
      <c r="E5" s="1153" t="s">
        <v>236</v>
      </c>
      <c r="F5" s="1153"/>
      <c r="G5" s="1154"/>
      <c r="J5" s="670" t="str">
        <f>Tb_Cpr24[[#Headers],[Proposed Liquefaction Plant (LNG pre-cooling)]]</f>
        <v>Proposed Liquefaction Plant (LNG pre-cooling)</v>
      </c>
      <c r="K5" s="817">
        <v>1.7861423904234683</v>
      </c>
      <c r="L5" s="280"/>
    </row>
    <row r="6" spans="1:12" ht="17" thickBot="1">
      <c r="A6" s="1151"/>
      <c r="B6" s="1152"/>
      <c r="C6" s="1152"/>
      <c r="D6" s="1152"/>
      <c r="E6" s="1155"/>
      <c r="F6" s="1155"/>
      <c r="G6" s="1156"/>
      <c r="J6" s="280"/>
      <c r="K6" s="280"/>
      <c r="L6" s="280"/>
    </row>
    <row r="7" spans="1:12" ht="17" thickBot="1">
      <c r="A7" s="553"/>
      <c r="B7" s="553"/>
      <c r="C7" s="553"/>
      <c r="D7" s="553"/>
      <c r="E7" s="553"/>
      <c r="F7" s="553"/>
      <c r="G7" s="553"/>
      <c r="J7" s="280"/>
      <c r="K7" s="280"/>
      <c r="L7" s="280"/>
    </row>
    <row r="8" spans="1:12" ht="18">
      <c r="A8" s="1157" t="s">
        <v>237</v>
      </c>
      <c r="B8" s="1158"/>
      <c r="C8" s="1158"/>
      <c r="D8" s="1158"/>
      <c r="E8" s="1159">
        <f>HOME!A9</f>
        <v>2022</v>
      </c>
      <c r="F8" s="1159"/>
      <c r="G8" s="1160"/>
      <c r="J8" s="1308"/>
      <c r="K8" s="776" t="s">
        <v>566</v>
      </c>
      <c r="L8" s="777" t="s">
        <v>542</v>
      </c>
    </row>
    <row r="9" spans="1:12">
      <c r="J9" s="1309"/>
      <c r="K9" s="778" t="s">
        <v>443</v>
      </c>
      <c r="L9" s="779" t="s">
        <v>75</v>
      </c>
    </row>
    <row r="10" spans="1:12">
      <c r="A10" s="1313" t="s">
        <v>241</v>
      </c>
      <c r="B10" s="1314"/>
      <c r="C10" s="1314"/>
      <c r="D10" s="1314"/>
      <c r="E10" s="1311" t="s">
        <v>402</v>
      </c>
      <c r="F10" s="1311"/>
      <c r="G10" s="1312"/>
      <c r="J10" s="1310"/>
      <c r="K10" s="313"/>
      <c r="L10" s="780">
        <f>A5</f>
        <v>2.4404640243827989</v>
      </c>
    </row>
    <row r="11" spans="1:12">
      <c r="A11" s="1313" t="s">
        <v>621</v>
      </c>
      <c r="B11" s="1314"/>
      <c r="C11" s="1314"/>
      <c r="D11" s="1314"/>
      <c r="E11" s="1311" t="s">
        <v>622</v>
      </c>
      <c r="F11" s="1311"/>
      <c r="G11" s="1312"/>
      <c r="J11" s="668" t="s">
        <v>24</v>
      </c>
      <c r="K11" s="813">
        <f>IF(E11="Small-scale (&lt;3 tpd)", 3,IF(E11="Medium-scale (3-50 tpd)", 25, IF(E11="Large-scale (&gt;50 tpd)",50,HOME!B69/365)))</f>
        <v>17.328767123287673</v>
      </c>
      <c r="L11" s="669">
        <f t="dataTable" ref="L11:L13" dt2D="0" dtr="0" r1="D22" ca="1"/>
        <v>2.4404640243827989</v>
      </c>
    </row>
    <row r="12" spans="1:12">
      <c r="J12" s="668" t="s">
        <v>104</v>
      </c>
      <c r="K12" s="813">
        <f>Truck!D27*Truck!C49/1000/365</f>
        <v>1.5595890410958904</v>
      </c>
      <c r="L12" s="669">
        <v>4.8600020619471378</v>
      </c>
    </row>
    <row r="13" spans="1:12" ht="17" thickBot="1">
      <c r="A13" s="1157" t="s">
        <v>242</v>
      </c>
      <c r="B13" s="1158"/>
      <c r="C13" s="1158"/>
      <c r="D13" s="1158"/>
      <c r="E13" s="1159" t="str">
        <f>HOME!$C$9</f>
        <v>Spain</v>
      </c>
      <c r="F13" s="1159"/>
      <c r="G13" s="1160"/>
      <c r="J13" s="670" t="s">
        <v>545</v>
      </c>
      <c r="K13" s="814">
        <v>0</v>
      </c>
      <c r="L13" s="783" t="e">
        <v>#DIV/0!</v>
      </c>
    </row>
    <row r="14" spans="1:12" ht="17" thickBot="1">
      <c r="E14" s="280"/>
    </row>
    <row r="15" spans="1:12" ht="17" thickBot="1">
      <c r="A15" s="1174" t="s">
        <v>243</v>
      </c>
      <c r="B15" s="1175"/>
      <c r="C15" s="1175"/>
      <c r="D15" s="1175"/>
      <c r="E15" s="1175"/>
      <c r="F15" s="1175"/>
      <c r="G15" s="1176"/>
    </row>
    <row r="16" spans="1:12">
      <c r="A16" s="217"/>
      <c r="B16" s="217"/>
      <c r="C16" s="217"/>
      <c r="D16" s="217"/>
      <c r="E16" s="217"/>
      <c r="F16" s="217"/>
      <c r="G16" s="217"/>
    </row>
    <row r="17" spans="1:7">
      <c r="A17" s="1" t="s">
        <v>154</v>
      </c>
      <c r="B17" s="1" t="s">
        <v>244</v>
      </c>
      <c r="C17" s="1" t="s">
        <v>245</v>
      </c>
      <c r="D17" s="1" t="s">
        <v>246</v>
      </c>
      <c r="E17" s="1" t="s">
        <v>247</v>
      </c>
      <c r="F17" s="603" t="s">
        <v>248</v>
      </c>
      <c r="G17" s="225"/>
    </row>
    <row r="19" spans="1:7" ht="18" customHeight="1">
      <c r="A19" s="526" t="s">
        <v>191</v>
      </c>
      <c r="B19" s="727" cm="1">
        <f t="array" ref="B19">IFERROR(INDEX(Tb_Cpr24[],MATCH(A19,Tb_Cpr24[Parameter],0),HLOOKUP($E$10,'Conversion data'!$AK$2:$AN$3,2,FALSE)+2),"-")</f>
        <v>0.02</v>
      </c>
      <c r="C19" s="384"/>
      <c r="D19" s="597">
        <f>IF(ISBLANK(C19),B19,C19)</f>
        <v>0.02</v>
      </c>
      <c r="E19" s="335"/>
      <c r="F19" s="574" t="s">
        <v>605</v>
      </c>
      <c r="G19" s="1296" t="s">
        <v>623</v>
      </c>
    </row>
    <row r="20" spans="1:7">
      <c r="A20" s="526" t="s">
        <v>405</v>
      </c>
      <c r="B20" s="818" cm="1">
        <f t="array" ref="B20">IFERROR(INDEX(Tb_Cpr24[],MATCH(A20,Tb_Cpr24[Parameter],0),HLOOKUP($E$10,'Conversion data'!$AK$2:$AN$3,2,FALSE)+2),"-")</f>
        <v>0.95</v>
      </c>
      <c r="C20" s="384"/>
      <c r="D20" s="512">
        <f>IF(ISBLANK(C20),B20,C20)</f>
        <v>0.95</v>
      </c>
      <c r="E20" s="335"/>
      <c r="F20" s="658"/>
      <c r="G20" s="1296"/>
    </row>
    <row r="21" spans="1:7" ht="18" customHeight="1">
      <c r="A21" s="280"/>
      <c r="B21" s="280"/>
      <c r="C21" s="391"/>
      <c r="D21" s="280"/>
      <c r="E21" s="280"/>
      <c r="F21" s="280"/>
      <c r="G21" s="616"/>
    </row>
    <row r="22" spans="1:7" ht="18">
      <c r="A22" s="526" t="s">
        <v>624</v>
      </c>
      <c r="B22" s="815">
        <f>IF(E11="Small-scale (&lt;3 tpd)", 3,IF(E11="Medium-scale (3-50 tpd)", 25, IF(E11="Large-scale (&gt;50 tpd)",50,HOME!B69/365)))</f>
        <v>17.328767123287673</v>
      </c>
      <c r="C22" s="384"/>
      <c r="D22" s="590">
        <f t="shared" ref="D22:D23" si="0">IF(ISBLANK(C22),B22,C22)</f>
        <v>17.328767123287673</v>
      </c>
      <c r="E22" s="576" t="s">
        <v>443</v>
      </c>
      <c r="F22" s="614" t="s">
        <v>625</v>
      </c>
      <c r="G22" s="1187" t="s">
        <v>626</v>
      </c>
    </row>
    <row r="23" spans="1:7" ht="18" customHeight="1">
      <c r="A23" s="526" t="s">
        <v>415</v>
      </c>
      <c r="B23" s="730">
        <f>IF(D22&gt;200, 17.124*(200^(-0.216)), 17.124*(D22^(-0.216)))</f>
        <v>9.2476504043697823</v>
      </c>
      <c r="C23" s="384"/>
      <c r="D23" s="599">
        <f t="shared" si="0"/>
        <v>9.2476504043697823</v>
      </c>
      <c r="E23" s="415" t="s">
        <v>423</v>
      </c>
      <c r="F23" s="659" t="s">
        <v>627</v>
      </c>
      <c r="G23" s="1189"/>
    </row>
    <row r="24" spans="1:7" ht="18">
      <c r="A24" s="819" t="s">
        <v>628</v>
      </c>
      <c r="B24" s="734">
        <f>D26/D23</f>
        <v>-0.1091682704098501</v>
      </c>
      <c r="C24" s="820"/>
      <c r="D24" s="512">
        <f>IF(ISBLANK(C24),B24,C24)</f>
        <v>-0.1091682704098501</v>
      </c>
      <c r="E24" s="335"/>
      <c r="F24" s="614" t="s">
        <v>629</v>
      </c>
      <c r="G24" s="1188"/>
    </row>
    <row r="25" spans="1:7">
      <c r="A25" s="280"/>
      <c r="B25" s="280"/>
      <c r="C25" s="391"/>
      <c r="D25" s="280"/>
      <c r="E25" s="280"/>
      <c r="F25" s="280"/>
      <c r="G25" s="616"/>
    </row>
    <row r="26" spans="1:7" ht="17">
      <c r="A26" s="526" t="s">
        <v>630</v>
      </c>
      <c r="B26" s="505">
        <f>(1/3600)*(D28*(D29-D33)-(D30-D34))</f>
        <v>-1.0095499999999999</v>
      </c>
      <c r="C26" s="799"/>
      <c r="D26" s="509">
        <f>IF(ISBLANK(C26),B26,C26)</f>
        <v>-1.0095499999999999</v>
      </c>
      <c r="E26" s="335" t="s">
        <v>631</v>
      </c>
      <c r="F26" s="582" t="s">
        <v>632</v>
      </c>
      <c r="G26" s="616"/>
    </row>
    <row r="27" spans="1:7">
      <c r="A27" s="526" t="s">
        <v>633</v>
      </c>
      <c r="B27" s="517">
        <v>21</v>
      </c>
      <c r="C27" s="799"/>
      <c r="D27" s="599">
        <f>IF(ISBLANK(C27),B27,C27)</f>
        <v>21</v>
      </c>
      <c r="E27" s="415" t="s">
        <v>59</v>
      </c>
      <c r="F27" s="575" t="s">
        <v>634</v>
      </c>
      <c r="G27" s="616"/>
    </row>
    <row r="28" spans="1:7">
      <c r="A28" s="526" t="s">
        <v>635</v>
      </c>
      <c r="B28" s="517">
        <v>300</v>
      </c>
      <c r="C28" s="799"/>
      <c r="D28" s="599">
        <f t="shared" ref="D28:D34" si="1">IF(ISBLANK(C28),B28,C28)</f>
        <v>300</v>
      </c>
      <c r="E28" s="415" t="s">
        <v>636</v>
      </c>
      <c r="F28" s="575" t="s">
        <v>637</v>
      </c>
      <c r="G28" s="616"/>
    </row>
    <row r="29" spans="1:7">
      <c r="A29" s="526" t="s">
        <v>638</v>
      </c>
      <c r="B29" s="517" cm="1">
        <f t="array" ref="B29">IF(HOME!B13="Yes",[1]!PropsSI("S","T",D28,"P",(D27*100000),"Hydrogen")/1000,0.94)</f>
        <v>0.94</v>
      </c>
      <c r="C29" s="799"/>
      <c r="D29" s="599">
        <f t="shared" si="1"/>
        <v>0.94</v>
      </c>
      <c r="E29" s="415" t="s">
        <v>639</v>
      </c>
      <c r="F29" s="575" t="s">
        <v>640</v>
      </c>
      <c r="G29" s="616"/>
    </row>
    <row r="30" spans="1:7">
      <c r="A30" s="526" t="s">
        <v>641</v>
      </c>
      <c r="B30" s="517" cm="1">
        <f t="array" ref="B30">IF(HOME!B13="Yes",[1]!PropsSI("H", "T", D28, "P", (D27*100000), "Hydrogen")/1000,3967.09)</f>
        <v>3967.09</v>
      </c>
      <c r="C30" s="799"/>
      <c r="D30" s="599">
        <f t="shared" si="1"/>
        <v>3967.09</v>
      </c>
      <c r="E30" s="415" t="s">
        <v>642</v>
      </c>
      <c r="F30" s="575" t="s">
        <v>643</v>
      </c>
      <c r="G30" s="616"/>
    </row>
    <row r="31" spans="1:7">
      <c r="A31" s="526" t="s">
        <v>644</v>
      </c>
      <c r="B31" s="517">
        <v>1.3</v>
      </c>
      <c r="C31" s="801"/>
      <c r="D31" s="599">
        <f t="shared" si="1"/>
        <v>1.3</v>
      </c>
      <c r="E31" s="415" t="s">
        <v>59</v>
      </c>
      <c r="F31" s="575" t="s">
        <v>645</v>
      </c>
      <c r="G31" s="616"/>
    </row>
    <row r="32" spans="1:7">
      <c r="A32" s="526" t="s">
        <v>646</v>
      </c>
      <c r="B32" s="517">
        <v>20</v>
      </c>
      <c r="C32" s="801"/>
      <c r="D32" s="599">
        <f t="shared" si="1"/>
        <v>20</v>
      </c>
      <c r="E32" s="415" t="s">
        <v>636</v>
      </c>
      <c r="F32" s="575" t="s">
        <v>647</v>
      </c>
      <c r="G32" s="616"/>
    </row>
    <row r="33" spans="1:7">
      <c r="A33" s="526" t="s">
        <v>648</v>
      </c>
      <c r="B33" s="517" cm="1">
        <f t="array" ref="B33">IF(HOME!B13="Yes",[1]!PropsSI("S", "T", D32, "P", (D31*100000), "Hydrogen")/1000,-0.18)</f>
        <v>-0.18</v>
      </c>
      <c r="C33" s="799"/>
      <c r="D33" s="599">
        <f t="shared" si="1"/>
        <v>-0.18</v>
      </c>
      <c r="E33" s="415" t="s">
        <v>639</v>
      </c>
      <c r="F33" s="575" t="s">
        <v>649</v>
      </c>
      <c r="G33" s="616"/>
    </row>
    <row r="34" spans="1:7">
      <c r="A34" s="526" t="s">
        <v>650</v>
      </c>
      <c r="B34" s="517" cm="1">
        <f t="array" ref="B34">IF(HOME!B13="Yes",[1]!PropsSI("H","T",D32,"P",(D31*100000),"Hydrogen")/1000,-3.29)</f>
        <v>-3.29</v>
      </c>
      <c r="C34" s="799"/>
      <c r="D34" s="599">
        <f t="shared" si="1"/>
        <v>-3.29</v>
      </c>
      <c r="E34" s="415" t="s">
        <v>642</v>
      </c>
      <c r="F34" s="575" t="s">
        <v>651</v>
      </c>
      <c r="G34" s="616"/>
    </row>
    <row r="35" spans="1:7">
      <c r="A35" s="280"/>
      <c r="B35" s="280"/>
      <c r="C35" s="391"/>
      <c r="D35" s="280"/>
      <c r="E35" s="280"/>
      <c r="F35" s="280"/>
      <c r="G35" s="280"/>
    </row>
    <row r="36" spans="1:7" ht="18">
      <c r="A36" s="526" t="s">
        <v>202</v>
      </c>
      <c r="B36" s="734" cm="1">
        <f t="array" ref="B36">IFERROR(INDEX(Tb_Cpr24[],MATCH(A36,Tb_Cpr24[Parameter],0),HLOOKUP($E$10,'Conversion data'!$AK$2:$AN$3,2,FALSE)+2),"-")</f>
        <v>0.04</v>
      </c>
      <c r="C36" s="384"/>
      <c r="D36" s="512">
        <f t="shared" ref="D36:D42" si="2">IF(ISBLANK(C36),B36,C36)</f>
        <v>0.04</v>
      </c>
      <c r="E36" s="581"/>
      <c r="F36" s="658" t="s">
        <v>281</v>
      </c>
      <c r="G36" s="1187" t="s">
        <v>652</v>
      </c>
    </row>
    <row r="37" spans="1:7" ht="18">
      <c r="A37" s="571" t="s">
        <v>206</v>
      </c>
      <c r="B37" s="738" cm="1">
        <f t="array" ref="B37">IFERROR(INDEX(Tb_Cpr24[],MATCH(A37,Tb_Cpr24[Parameter],0),HLOOKUP($E$10,'Conversion data'!$AK$2:$AN$3,2,FALSE)+2),"-")</f>
        <v>20</v>
      </c>
      <c r="C37" s="821"/>
      <c r="D37" s="661">
        <f t="shared" si="2"/>
        <v>20</v>
      </c>
      <c r="E37" s="581" t="s">
        <v>207</v>
      </c>
      <c r="F37" s="722" t="s">
        <v>283</v>
      </c>
      <c r="G37" s="1189"/>
    </row>
    <row r="38" spans="1:7">
      <c r="A38" s="526" t="s">
        <v>211</v>
      </c>
      <c r="B38" s="734" cm="1">
        <f t="array" ref="B38">IFERROR((INDEX(Tb_Cpr24[],MATCH(A38,Tb_Cpr24[Parameter],0),HLOOKUP($E$10,'Conversion data'!$AK$2:$AN$3,2,FALSE)+2)+1)/(1+'General values'!R9)-1,"-")</f>
        <v>6.1086139562302133E-2</v>
      </c>
      <c r="C38" s="384"/>
      <c r="D38" s="512">
        <f t="shared" si="2"/>
        <v>6.1086139562302133E-2</v>
      </c>
      <c r="E38" s="581"/>
      <c r="F38" s="658" t="s">
        <v>284</v>
      </c>
      <c r="G38" s="1189"/>
    </row>
    <row r="39" spans="1:7" ht="18">
      <c r="A39" s="526" t="s">
        <v>430</v>
      </c>
      <c r="B39" s="735" cm="1">
        <f t="array" ref="B39">IFERROR(INDEX(Tb_Cpr24[],MATCH(A39,Tb_Cpr24[Parameter],0),HLOOKUP($E$10,'Conversion data'!$AK$2:$AN$3,2,FALSE)+2),"-")</f>
        <v>0.7</v>
      </c>
      <c r="C39" s="384"/>
      <c r="D39" s="509">
        <f t="shared" si="2"/>
        <v>0.7</v>
      </c>
      <c r="E39" s="335"/>
      <c r="F39" s="658" t="s">
        <v>653</v>
      </c>
      <c r="G39" s="1189"/>
    </row>
    <row r="40" spans="1:7" ht="18">
      <c r="A40" s="526" t="s">
        <v>435</v>
      </c>
      <c r="B40" s="735" cm="1">
        <f t="array" ref="B40">IFERROR(INDEX(Tb_Cpr24[],MATCH(A40,Tb_Cpr24[Parameter],0),HLOOKUP($E$10,'Conversion data'!$AK$2:$AN$3,2,FALSE)+2),"-")</f>
        <v>1253.5139503728035</v>
      </c>
      <c r="C40" s="384"/>
      <c r="D40" s="509">
        <f t="shared" si="2"/>
        <v>1253.5139503728035</v>
      </c>
      <c r="E40" s="335" t="s">
        <v>292</v>
      </c>
      <c r="F40" s="658"/>
      <c r="G40" s="1189"/>
    </row>
    <row r="41" spans="1:7" ht="18">
      <c r="A41" s="526" t="s">
        <v>442</v>
      </c>
      <c r="B41" s="735" cm="1">
        <f t="array" ref="B41">IFERROR(INDEX(Tb_Cpr24[],MATCH(A41,Tb_Cpr24[Parameter],0),HLOOKUP($E$10,'Conversion data'!$AK$2:$AN$3,2,FALSE)+2),"-")</f>
        <v>722.22222222222217</v>
      </c>
      <c r="C41" s="384"/>
      <c r="D41" s="509">
        <f t="shared" si="2"/>
        <v>722.22222222222217</v>
      </c>
      <c r="E41" s="335" t="s">
        <v>443</v>
      </c>
      <c r="F41" s="658"/>
      <c r="G41" s="1189"/>
    </row>
    <row r="42" spans="1:7">
      <c r="A42" s="526" t="s">
        <v>296</v>
      </c>
      <c r="B42" s="816">
        <f>(D40*((D22/D41)^D39))</f>
        <v>92.08670728567887</v>
      </c>
      <c r="C42" s="384"/>
      <c r="D42" s="599">
        <f t="shared" si="2"/>
        <v>92.08670728567887</v>
      </c>
      <c r="E42" s="415" t="s">
        <v>292</v>
      </c>
      <c r="F42" s="659"/>
      <c r="G42" s="1188"/>
    </row>
    <row r="43" spans="1:7" ht="17" thickBot="1">
      <c r="A43" s="280"/>
      <c r="B43" s="280"/>
    </row>
    <row r="44" spans="1:7" ht="17" thickBot="1">
      <c r="A44" s="1102" t="s">
        <v>297</v>
      </c>
      <c r="B44" s="1104"/>
      <c r="C44" s="1104"/>
      <c r="D44" s="1104"/>
      <c r="E44" s="1104"/>
      <c r="F44" s="1104"/>
      <c r="G44" s="1105"/>
    </row>
    <row r="46" spans="1:7" ht="18">
      <c r="A46" s="1172" t="s">
        <v>520</v>
      </c>
      <c r="B46" s="1173"/>
      <c r="C46" s="1173"/>
      <c r="D46" s="414">
        <f>(D23*(D22*(1000/24))*D20*8760)/1000</f>
        <v>55566.819367256932</v>
      </c>
      <c r="E46" s="415" t="s">
        <v>521</v>
      </c>
    </row>
    <row r="47" spans="1:7" ht="18">
      <c r="A47" s="1172" t="s">
        <v>654</v>
      </c>
      <c r="B47" s="1173"/>
      <c r="C47" s="1173"/>
      <c r="D47" s="601">
        <f>((D22*(1000/24))*D20*(1-D19)*8760)/1000</f>
        <v>5888.5749999999998</v>
      </c>
      <c r="E47" s="415" t="s">
        <v>655</v>
      </c>
      <c r="F47" s="208"/>
      <c r="G47" s="176"/>
    </row>
    <row r="48" spans="1:7" ht="17" thickBot="1">
      <c r="A48" s="280"/>
      <c r="B48" s="280"/>
      <c r="C48" s="280"/>
      <c r="D48" s="280"/>
      <c r="E48" s="280"/>
    </row>
    <row r="49" spans="1:5" ht="19" thickBot="1">
      <c r="A49" s="1074" t="s">
        <v>656</v>
      </c>
      <c r="B49" s="1075"/>
      <c r="C49" s="1075"/>
      <c r="D49" s="418">
        <f>SUM('CFA Liquefaction'!J4:J42)*10^6/(SUM('CFA Liquefaction'!L4:L42)*1000)</f>
        <v>2.4404640243827989</v>
      </c>
      <c r="E49" s="419" t="s">
        <v>75</v>
      </c>
    </row>
    <row r="50" spans="1:5">
      <c r="A50" s="1071" t="s">
        <v>321</v>
      </c>
      <c r="B50" s="1072"/>
      <c r="C50" s="1072"/>
      <c r="D50" s="1072"/>
      <c r="E50" s="1073"/>
    </row>
    <row r="51" spans="1:5" ht="18">
      <c r="A51" s="1067" t="s">
        <v>657</v>
      </c>
      <c r="B51" s="1068"/>
      <c r="C51" s="1068"/>
      <c r="D51" s="420">
        <f>D49-D52</f>
        <v>2.0009835900896946</v>
      </c>
      <c r="E51" s="421" t="s">
        <v>75</v>
      </c>
    </row>
    <row r="52" spans="1:5" ht="15.75" customHeight="1" thickBot="1">
      <c r="A52" s="1069" t="s">
        <v>526</v>
      </c>
      <c r="B52" s="1070"/>
      <c r="C52" s="1070"/>
      <c r="D52" s="422">
        <f>SUM('CFA Liquefaction'!I4:I42)*10^6/(SUM('CFA Liquefaction'!L4:L42)*1000)</f>
        <v>0.43948043429310429</v>
      </c>
      <c r="E52" s="423" t="s">
        <v>75</v>
      </c>
    </row>
    <row r="54" spans="1:5" ht="18" customHeight="1"/>
    <row r="61" spans="1:5" ht="16" customHeight="1"/>
  </sheetData>
  <sheetProtection algorithmName="SHA-512" hashValue="+Tizb5lzpvV/YhI8mYiieYJYlcbBt9E0va82uZnIotVCrY9PVGTKzLWFH8VTYf3u8bmF+0gz9bIclCNmkPkM6Q==" saltValue="PjsZ+CHhXu2pp9Mb3tNyJg==" spinCount="100000" sheet="1" objects="1" scenarios="1"/>
  <mergeCells count="23">
    <mergeCell ref="G22:G24"/>
    <mergeCell ref="A11:D11"/>
    <mergeCell ref="E11:G11"/>
    <mergeCell ref="A15:G15"/>
    <mergeCell ref="G19:G20"/>
    <mergeCell ref="A3:G4"/>
    <mergeCell ref="A5:D6"/>
    <mergeCell ref="E5:G6"/>
    <mergeCell ref="A8:D8"/>
    <mergeCell ref="E8:G8"/>
    <mergeCell ref="A52:C52"/>
    <mergeCell ref="A47:C47"/>
    <mergeCell ref="G36:G42"/>
    <mergeCell ref="A44:G44"/>
    <mergeCell ref="A46:C46"/>
    <mergeCell ref="A49:C49"/>
    <mergeCell ref="A50:E50"/>
    <mergeCell ref="A51:C51"/>
    <mergeCell ref="J8:J10"/>
    <mergeCell ref="A10:D10"/>
    <mergeCell ref="E10:G10"/>
    <mergeCell ref="A13:D13"/>
    <mergeCell ref="E13:G13"/>
  </mergeCells>
  <hyperlinks>
    <hyperlink ref="A1" location="HOME!A1" display="HOME" xr:uid="{2E976CAF-B21B-49DD-B602-935F28CA0F42}"/>
  </hyperlinks>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4E181AD-3994-47B9-8BCA-9EAF313B35BC}">
          <x14:formula1>
            <xm:f>'List DB'!$Q$30:$Q$31</xm:f>
          </x14:formula1>
          <xm:sqref>E10:G10</xm:sqref>
        </x14:dataValidation>
        <x14:dataValidation type="list" allowBlank="1" showInputMessage="1" showErrorMessage="1" xr:uid="{64DD3DAA-22DF-451C-A4C2-719CE24D7858}">
          <x14:formula1>
            <xm:f>'List DB'!$S$28:$S$31</xm:f>
          </x14:formula1>
          <xm:sqref>E11:G11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8148-AFB7-440A-AEAC-A6E565385744}">
  <sheetPr>
    <tabColor theme="7" tint="0.79998168889431442"/>
  </sheetPr>
  <dimension ref="A1:N43"/>
  <sheetViews>
    <sheetView zoomScale="66" zoomScaleNormal="60" workbookViewId="0">
      <selection activeCell="K23" sqref="K23"/>
    </sheetView>
  </sheetViews>
  <sheetFormatPr baseColWidth="10" defaultColWidth="8.83203125" defaultRowHeight="16"/>
  <cols>
    <col min="1" max="3" width="10.83203125" style="31" customWidth="1"/>
    <col min="4" max="4" width="16" style="31" bestFit="1" customWidth="1"/>
    <col min="5" max="20" width="10.83203125" style="31" customWidth="1"/>
    <col min="21" max="16384" width="8.83203125" style="31"/>
  </cols>
  <sheetData>
    <row r="1" spans="1:14" ht="17" thickBot="1">
      <c r="A1" s="151" t="s">
        <v>234</v>
      </c>
    </row>
    <row r="2" spans="1:14" ht="19" thickTop="1">
      <c r="B2" s="739"/>
      <c r="C2" s="740"/>
      <c r="D2" s="741" t="s">
        <v>527</v>
      </c>
      <c r="E2" s="742" t="s">
        <v>528</v>
      </c>
      <c r="F2" s="743" t="s">
        <v>528</v>
      </c>
      <c r="G2" s="742" t="s">
        <v>528</v>
      </c>
      <c r="H2" s="744" t="s">
        <v>528</v>
      </c>
      <c r="I2" s="745" t="s">
        <v>528</v>
      </c>
      <c r="J2" s="745" t="s">
        <v>528</v>
      </c>
      <c r="K2" s="746" t="s">
        <v>658</v>
      </c>
      <c r="L2" s="747" t="s">
        <v>659</v>
      </c>
    </row>
    <row r="3" spans="1:14" ht="34">
      <c r="B3" s="748" t="s">
        <v>530</v>
      </c>
      <c r="C3" s="749" t="s">
        <v>531</v>
      </c>
      <c r="D3" s="750" t="s">
        <v>532</v>
      </c>
      <c r="E3" s="751" t="s">
        <v>533</v>
      </c>
      <c r="F3" s="752" t="s">
        <v>534</v>
      </c>
      <c r="G3" s="751" t="s">
        <v>535</v>
      </c>
      <c r="H3" s="753" t="s">
        <v>536</v>
      </c>
      <c r="I3" s="754" t="s">
        <v>537</v>
      </c>
      <c r="J3" s="755" t="s">
        <v>538</v>
      </c>
      <c r="K3" s="756" t="s">
        <v>660</v>
      </c>
      <c r="L3" s="757" t="s">
        <v>661</v>
      </c>
    </row>
    <row r="4" spans="1:14">
      <c r="B4" s="758">
        <v>2022</v>
      </c>
      <c r="C4" s="759">
        <f>IF(B4=HOME!$A$9,B4-HOME!$A$9,IF(B4&lt;HOME!$A$9,"",IF(B4&gt;HOME!$A$9+Liquefaction!$D$37,"",B4-HOME!$A$9)))</f>
        <v>0</v>
      </c>
      <c r="D4" s="760" cm="1">
        <f t="array" ref="D4">IF(B4=HOME!$A$9,0,IF(B4&lt;HOME!$A$9,"",IF(B4&gt;Liquefaction!$D$37+HOME!$A$9,"",IF(HOME!$B$64="Electrolysis",IF(HOME!$B$65="Grid",INDEX(Tb_Fuel[],MATCH(B4,Tb_Fuel[Year],0),HLOOKUP(Liquefaction!$E$13&amp;" - Grid",'Fuel Data'!$BB$2:$BX$3,2,FALSE)+1),INDEX(Tb_LCOE[],MATCH(HOME!$A$9,Tb_LCOE[Year],0),HLOOKUP("LCOE"&amp;HOME!$B$65,LCOE!$B$3:$G$4,2,FALSE)+1)/1000),INDEX(Tb_Fuel[],MATCH(B4,Tb_Fuel[Year],0),HLOOKUP(Liquefaction!$E$13&amp;" - Gas",'Fuel Data'!$BB$2:$BX$3,2,FALSE)+1)/0.3))))</f>
        <v>0</v>
      </c>
      <c r="E4" s="760">
        <f>IF(B4=HOME!$A$9,Liquefaction!$D$42,IF(B4&lt;HOME!$A$9,"",IF(B4&gt;Liquefaction!$D$37+HOME!$A$9,"",0)))</f>
        <v>92.08670728567887</v>
      </c>
      <c r="F4" s="760">
        <f>IF(B4=HOME!$A$9,0,IF(B4&lt;HOME!$A$9,"",IF(B4&gt;Liquefaction!$D$37+HOME!$A$9,"",Liquefaction!$D$36*Liquefaction!$D$42)))</f>
        <v>0</v>
      </c>
      <c r="G4" s="760">
        <f>IF(B4=HOME!$A$9,0,IF(B4&lt;HOME!$A$9,"",IF(B4&gt;Liquefaction!$D$37+HOME!$A$9,"",D4/10^6*Liquefaction!$D$46*1000)))</f>
        <v>0</v>
      </c>
      <c r="H4" s="761">
        <f>IF(B4=HOME!$A$9,SUM(E4:G4),IF(B4&lt;HOME!$A$9,"",IF(B4&gt;Liquefaction!$D$37+HOME!$A$9,"",SUM(E4:G4))))</f>
        <v>92.08670728567887</v>
      </c>
      <c r="I4" s="761">
        <f>IF(B4=HOME!$A$9,G4/(1+Liquefaction!$D$38)^C4,IF(B4&lt;HOME!$A$9,"",IF(B4&gt;Liquefaction!$D$37+HOME!$A$9,"",G4/(1+Liquefaction!$D$38)^C4)))</f>
        <v>0</v>
      </c>
      <c r="J4" s="761">
        <f>IF(B4=HOME!$A$9,H4/(1+Liquefaction!$D$38)^C4,IF(B4&lt;HOME!$A$9,"",IF(B4&gt;Liquefaction!$D$37+HOME!$A$9,"",H4/(1+Liquefaction!$D$38)^C4)))</f>
        <v>92.08670728567887</v>
      </c>
      <c r="K4" s="762">
        <f>IF(B4=HOME!$A$9,0,IF(B4&lt;HOME!$A$9,"",IF(B4&gt;Liquefaction!$D$37+HOME!$A$9,"",Liquefaction!$D$47)))</f>
        <v>0</v>
      </c>
      <c r="L4" s="803">
        <f>IF(B4=HOME!$A$9,K4/(1+Liquefaction!$D$38)^C4,IF(B4&lt;HOME!$A$9,"",IF(B4&gt;Liquefaction!$D$37+HOME!$A$9,"",K4/(1+Liquefaction!$D$38)^C4)))</f>
        <v>0</v>
      </c>
      <c r="N4" s="88"/>
    </row>
    <row r="5" spans="1:14">
      <c r="B5" s="764">
        <v>2023</v>
      </c>
      <c r="C5" s="765">
        <f>IF(B5=HOME!$A$9,B5-HOME!$A$9,IF(B5&lt;HOME!$A$9,"",IF(B5&gt;HOME!$A$9+Liquefaction!$D$37,"",B5-HOME!$A$9)))</f>
        <v>1</v>
      </c>
      <c r="D5" s="766" cm="1">
        <f t="array" ref="D5">IF(B5=HOME!$A$9,0,IF(B5&lt;HOME!$A$9,"",IF(B5&gt;Liquefaction!$D$37+HOME!$A$9,"",IF(HOME!$B$64="Electrolysis",IF(HOME!$B$65="Grid",INDEX(Tb_Fuel[],MATCH(B5,Tb_Fuel[Year],0),HLOOKUP(Liquefaction!$E$13&amp;" - Grid",'Fuel Data'!$BB$2:$BX$3,2,FALSE)+1),INDEX(Tb_LCOE[],MATCH(HOME!$A$9,Tb_LCOE[Year],0),HLOOKUP("LCOE"&amp;HOME!$B$65,LCOE!$B$3:$G$4,2,FALSE)+1)/1000),INDEX(Tb_Fuel[],MATCH(B5,Tb_Fuel[Year],0),HLOOKUP(Liquefaction!$E$13&amp;" - Gas",'Fuel Data'!$BB$2:$BX$3,2,FALSE)+1)/0.3))))</f>
        <v>4.657300035949978E-2</v>
      </c>
      <c r="E5" s="766">
        <f>IF(B5=HOME!$A$9,Liquefaction!$D$42,IF(B5&lt;HOME!$A$9,"",IF(B5&gt;Liquefaction!$D$37+HOME!$A$9,"",0)))</f>
        <v>0</v>
      </c>
      <c r="F5" s="766">
        <f>IF(B5=HOME!$A$9,0,IF(B5&lt;HOME!$A$9,"",IF(B5&gt;Liquefaction!$D$37+HOME!$A$9,"",Liquefaction!$D$36*Liquefaction!$D$42)))</f>
        <v>3.6834682914271548</v>
      </c>
      <c r="G5" s="766">
        <f>IF(B5=HOME!$A$9,0,IF(B5&lt;HOME!$A$9,"",IF(B5&gt;Liquefaction!$D$37+HOME!$A$9,"",D5/10^6*Liquefaction!$D$46*1000)))</f>
        <v>2.5879134983675165</v>
      </c>
      <c r="H5" s="767">
        <f>IF(B5=HOME!$A$9,SUM(E5:G5),IF(B5&lt;HOME!$A$9,"",IF(B5&gt;Liquefaction!$D$37+HOME!$A$9,"",SUM(E5:G5))))</f>
        <v>6.2713817897946713</v>
      </c>
      <c r="I5" s="767">
        <f>IF(B5=HOME!$A$9,G5/(1+Liquefaction!$D$38)^C5,IF(B5&lt;HOME!$A$9,"",IF(B5&gt;Liquefaction!$D$37+HOME!$A$9,"",G5/(1+Liquefaction!$D$38)^C5)))</f>
        <v>2.4389287559962196</v>
      </c>
      <c r="J5" s="767">
        <f>IF(B5=HOME!$A$9,H5/(1+Liquefaction!$D$38)^C5,IF(B5&lt;HOME!$A$9,"",IF(B5&gt;Liquefaction!$D$37+HOME!$A$9,"",H5/(1+Liquefaction!$D$38)^C5)))</f>
        <v>5.9103418242571859</v>
      </c>
      <c r="K5" s="768">
        <f>IF(B5=HOME!$A$9,0,IF(B5&lt;HOME!$A$9,"",IF(B5&gt;Liquefaction!$D$37+HOME!$A$9,"",Liquefaction!$D$47)))</f>
        <v>5888.5749999999998</v>
      </c>
      <c r="L5" s="805">
        <f>IF(B5=HOME!$A$9,K5/(1+Liquefaction!$D$38)^C5,IF(B5&lt;HOME!$A$9,"",IF(B5&gt;Liquefaction!$D$37+HOME!$A$9,"",K5/(1+Liquefaction!$D$38)^C5)))</f>
        <v>5549.5730086805543</v>
      </c>
      <c r="N5" s="88"/>
    </row>
    <row r="6" spans="1:14">
      <c r="B6" s="764">
        <v>2024</v>
      </c>
      <c r="C6" s="765">
        <f>IF(B6=HOME!$A$9,B6-HOME!$A$9,IF(B6&lt;HOME!$A$9,"",IF(B6&gt;HOME!$A$9+Liquefaction!$D$37,"",B6-HOME!$A$9)))</f>
        <v>2</v>
      </c>
      <c r="D6" s="766" cm="1">
        <f t="array" ref="D6">IF(B6=HOME!$A$9,0,IF(B6&lt;HOME!$A$9,"",IF(B6&gt;Liquefaction!$D$37+HOME!$A$9,"",IF(HOME!$B$64="Electrolysis",IF(HOME!$B$65="Grid",INDEX(Tb_Fuel[],MATCH(B6,Tb_Fuel[Year],0),HLOOKUP(Liquefaction!$E$13&amp;" - Grid",'Fuel Data'!$BB$2:$BX$3,2,FALSE)+1),INDEX(Tb_LCOE[],MATCH(HOME!$A$9,Tb_LCOE[Year],0),HLOOKUP("LCOE"&amp;HOME!$B$65,LCOE!$B$3:$G$4,2,FALSE)+1)/1000),INDEX(Tb_Fuel[],MATCH(B6,Tb_Fuel[Year],0),HLOOKUP(Liquefaction!$E$13&amp;" - Gas",'Fuel Data'!$BB$2:$BX$3,2,FALSE)+1)/0.3))))</f>
        <v>4.657300035949978E-2</v>
      </c>
      <c r="E6" s="766">
        <f>IF(B6=HOME!$A$9,Liquefaction!$D$42,IF(B6&lt;HOME!$A$9,"",IF(B6&gt;Liquefaction!$D$37+HOME!$A$9,"",0)))</f>
        <v>0</v>
      </c>
      <c r="F6" s="766">
        <f>IF(B6=HOME!$A$9,0,IF(B6&lt;HOME!$A$9,"",IF(B6&gt;Liquefaction!$D$37+HOME!$A$9,"",Liquefaction!$D$36*Liquefaction!$D$42)))</f>
        <v>3.6834682914271548</v>
      </c>
      <c r="G6" s="766">
        <f>IF(B6=HOME!$A$9,0,IF(B6&lt;HOME!$A$9,"",IF(B6&gt;Liquefaction!$D$37+HOME!$A$9,"",D6/10^6*Liquefaction!$D$46*1000)))</f>
        <v>2.5879134983675165</v>
      </c>
      <c r="H6" s="767">
        <f>IF(B6=HOME!$A$9,SUM(E6:G6),IF(B6&lt;HOME!$A$9,"",IF(B6&gt;Liquefaction!$D$37+HOME!$A$9,"",SUM(E6:G6))))</f>
        <v>6.2713817897946713</v>
      </c>
      <c r="I6" s="767">
        <f>IF(B6=HOME!$A$9,G6/(1+Liquefaction!$D$38)^C6,IF(B6&lt;HOME!$A$9,"",IF(B6&gt;Liquefaction!$D$37+HOME!$A$9,"",G6/(1+Liquefaction!$D$38)^C6)))</f>
        <v>2.2985209824739372</v>
      </c>
      <c r="J6" s="767">
        <f>IF(B6=HOME!$A$9,H6/(1+Liquefaction!$D$38)^C6,IF(B6&lt;HOME!$A$9,"",IF(B6&gt;Liquefaction!$D$37+HOME!$A$9,"",H6/(1+Liquefaction!$D$38)^C6)))</f>
        <v>5.5700867289579348</v>
      </c>
      <c r="K6" s="768">
        <f>IF(B6=HOME!$A$9,0,IF(B6&lt;HOME!$A$9,"",IF(B6&gt;Liquefaction!$D$37+HOME!$A$9,"",Liquefaction!$D$47)))</f>
        <v>5888.5749999999998</v>
      </c>
      <c r="L6" s="805">
        <f>IF(B6=HOME!$A$9,K6/(1+Liquefaction!$D$38)^C6,IF(B6&lt;HOME!$A$9,"",IF(B6&gt;Liquefaction!$D$37+HOME!$A$9,"",K6/(1+Liquefaction!$D$38)^C6)))</f>
        <v>5230.0871736669305</v>
      </c>
      <c r="N6" s="88"/>
    </row>
    <row r="7" spans="1:14">
      <c r="B7" s="764">
        <v>2025</v>
      </c>
      <c r="C7" s="765">
        <f>IF(B7=HOME!$A$9,B7-HOME!$A$9,IF(B7&lt;HOME!$A$9,"",IF(B7&gt;HOME!$A$9+Liquefaction!$D$37,"",B7-HOME!$A$9)))</f>
        <v>3</v>
      </c>
      <c r="D7" s="766" cm="1">
        <f t="array" ref="D7">IF(B7=HOME!$A$9,0,IF(B7&lt;HOME!$A$9,"",IF(B7&gt;Liquefaction!$D$37+HOME!$A$9,"",IF(HOME!$B$64="Electrolysis",IF(HOME!$B$65="Grid",INDEX(Tb_Fuel[],MATCH(B7,Tb_Fuel[Year],0),HLOOKUP(Liquefaction!$E$13&amp;" - Grid",'Fuel Data'!$BB$2:$BX$3,2,FALSE)+1),INDEX(Tb_LCOE[],MATCH(HOME!$A$9,Tb_LCOE[Year],0),HLOOKUP("LCOE"&amp;HOME!$B$65,LCOE!$B$3:$G$4,2,FALSE)+1)/1000),INDEX(Tb_Fuel[],MATCH(B7,Tb_Fuel[Year],0),HLOOKUP(Liquefaction!$E$13&amp;" - Gas",'Fuel Data'!$BB$2:$BX$3,2,FALSE)+1)/0.3))))</f>
        <v>4.657300035949978E-2</v>
      </c>
      <c r="E7" s="766">
        <f>IF(B7=HOME!$A$9,Liquefaction!$D$42,IF(B7&lt;HOME!$A$9,"",IF(B7&gt;Liquefaction!$D$37+HOME!$A$9,"",0)))</f>
        <v>0</v>
      </c>
      <c r="F7" s="766">
        <f>IF(B7=HOME!$A$9,0,IF(B7&lt;HOME!$A$9,"",IF(B7&gt;Liquefaction!$D$37+HOME!$A$9,"",Liquefaction!$D$36*Liquefaction!$D$42)))</f>
        <v>3.6834682914271548</v>
      </c>
      <c r="G7" s="766">
        <f>IF(B7=HOME!$A$9,0,IF(B7&lt;HOME!$A$9,"",IF(B7&gt;Liquefaction!$D$37+HOME!$A$9,"",D7/10^6*Liquefaction!$D$46*1000)))</f>
        <v>2.5879134983675165</v>
      </c>
      <c r="H7" s="767">
        <f>IF(B7=HOME!$A$9,SUM(E7:G7),IF(B7&lt;HOME!$A$9,"",IF(B7&gt;Liquefaction!$D$37+HOME!$A$9,"",SUM(E7:G7))))</f>
        <v>6.2713817897946713</v>
      </c>
      <c r="I7" s="767">
        <f>IF(B7=HOME!$A$9,G7/(1+Liquefaction!$D$38)^C7,IF(B7&lt;HOME!$A$9,"",IF(B7&gt;Liquefaction!$D$37+HOME!$A$9,"",G7/(1+Liquefaction!$D$38)^C7)))</f>
        <v>2.1661964064690138</v>
      </c>
      <c r="J7" s="767">
        <f>IF(B7=HOME!$A$9,H7/(1+Liquefaction!$D$38)^C7,IF(B7&lt;HOME!$A$9,"",IF(B7&gt;Liquefaction!$D$37+HOME!$A$9,"",H7/(1+Liquefaction!$D$38)^C7)))</f>
        <v>5.2494199304644527</v>
      </c>
      <c r="K7" s="768">
        <f>IF(B7=HOME!$A$9,0,IF(B7&lt;HOME!$A$9,"",IF(B7&gt;Liquefaction!$D$37+HOME!$A$9,"",Liquefaction!$D$47)))</f>
        <v>5888.5749999999998</v>
      </c>
      <c r="L7" s="805">
        <f>IF(B7=HOME!$A$9,K7/(1+Liquefaction!$D$38)^C7,IF(B7&lt;HOME!$A$9,"",IF(B7&gt;Liquefaction!$D$37+HOME!$A$9,"",K7/(1+Liquefaction!$D$38)^C7)))</f>
        <v>4928.9939606829103</v>
      </c>
      <c r="N7" s="88"/>
    </row>
    <row r="8" spans="1:14">
      <c r="B8" s="764">
        <v>2026</v>
      </c>
      <c r="C8" s="765">
        <f>IF(B8=HOME!$A$9,B8-HOME!$A$9,IF(B8&lt;HOME!$A$9,"",IF(B8&gt;HOME!$A$9+Liquefaction!$D$37,"",B8-HOME!$A$9)))</f>
        <v>4</v>
      </c>
      <c r="D8" s="766" cm="1">
        <f t="array" ref="D8">IF(B8=HOME!$A$9,0,IF(B8&lt;HOME!$A$9,"",IF(B8&gt;Liquefaction!$D$37+HOME!$A$9,"",IF(HOME!$B$64="Electrolysis",IF(HOME!$B$65="Grid",INDEX(Tb_Fuel[],MATCH(B8,Tb_Fuel[Year],0),HLOOKUP(Liquefaction!$E$13&amp;" - Grid",'Fuel Data'!$BB$2:$BX$3,2,FALSE)+1),INDEX(Tb_LCOE[],MATCH(HOME!$A$9,Tb_LCOE[Year],0),HLOOKUP("LCOE"&amp;HOME!$B$65,LCOE!$B$3:$G$4,2,FALSE)+1)/1000),INDEX(Tb_Fuel[],MATCH(B8,Tb_Fuel[Year],0),HLOOKUP(Liquefaction!$E$13&amp;" - Gas",'Fuel Data'!$BB$2:$BX$3,2,FALSE)+1)/0.3))))</f>
        <v>4.657300035949978E-2</v>
      </c>
      <c r="E8" s="766">
        <f>IF(B8=HOME!$A$9,Liquefaction!$D$42,IF(B8&lt;HOME!$A$9,"",IF(B8&gt;Liquefaction!$D$37+HOME!$A$9,"",0)))</f>
        <v>0</v>
      </c>
      <c r="F8" s="766">
        <f>IF(B8=HOME!$A$9,0,IF(B8&lt;HOME!$A$9,"",IF(B8&gt;Liquefaction!$D$37+HOME!$A$9,"",Liquefaction!$D$36*Liquefaction!$D$42)))</f>
        <v>3.6834682914271548</v>
      </c>
      <c r="G8" s="766">
        <f>IF(B8=HOME!$A$9,0,IF(B8&lt;HOME!$A$9,"",IF(B8&gt;Liquefaction!$D$37+HOME!$A$9,"",D8/10^6*Liquefaction!$D$46*1000)))</f>
        <v>2.5879134983675165</v>
      </c>
      <c r="H8" s="767">
        <f>IF(B8=HOME!$A$9,SUM(E8:G8),IF(B8&lt;HOME!$A$9,"",IF(B8&gt;Liquefaction!$D$37+HOME!$A$9,"",SUM(E8:G8))))</f>
        <v>6.2713817897946713</v>
      </c>
      <c r="I8" s="767">
        <f>IF(B8=HOME!$A$9,G8/(1+Liquefaction!$D$38)^C8,IF(B8&lt;HOME!$A$9,"",IF(B8&gt;Liquefaction!$D$37+HOME!$A$9,"",G8/(1+Liquefaction!$D$38)^C8)))</f>
        <v>2.0414896827910405</v>
      </c>
      <c r="J8" s="767">
        <f>IF(B8=HOME!$A$9,H8/(1+Liquefaction!$D$38)^C8,IF(B8&lt;HOME!$A$9,"",IF(B8&gt;Liquefaction!$D$37+HOME!$A$9,"",H8/(1+Liquefaction!$D$38)^C8)))</f>
        <v>4.9472137414120194</v>
      </c>
      <c r="K8" s="768">
        <f>IF(B8=HOME!$A$9,0,IF(B8&lt;HOME!$A$9,"",IF(B8&gt;Liquefaction!$D$37+HOME!$A$9,"",Liquefaction!$D$47)))</f>
        <v>5888.5749999999998</v>
      </c>
      <c r="L8" s="805">
        <f>IF(B8=HOME!$A$9,K8/(1+Liquefaction!$D$38)^C8,IF(B8&lt;HOME!$A$9,"",IF(B8&gt;Liquefaction!$D$37+HOME!$A$9,"",K8/(1+Liquefaction!$D$38)^C8)))</f>
        <v>4645.2345166963732</v>
      </c>
      <c r="N8" s="88"/>
    </row>
    <row r="9" spans="1:14">
      <c r="B9" s="764">
        <v>2027</v>
      </c>
      <c r="C9" s="765">
        <f>IF(B9=HOME!$A$9,B9-HOME!$A$9,IF(B9&lt;HOME!$A$9,"",IF(B9&gt;HOME!$A$9+Liquefaction!$D$37,"",B9-HOME!$A$9)))</f>
        <v>5</v>
      </c>
      <c r="D9" s="766" cm="1">
        <f t="array" ref="D9">IF(B9=HOME!$A$9,0,IF(B9&lt;HOME!$A$9,"",IF(B9&gt;Liquefaction!$D$37+HOME!$A$9,"",IF(HOME!$B$64="Electrolysis",IF(HOME!$B$65="Grid",INDEX(Tb_Fuel[],MATCH(B9,Tb_Fuel[Year],0),HLOOKUP(Liquefaction!$E$13&amp;" - Grid",'Fuel Data'!$BB$2:$BX$3,2,FALSE)+1),INDEX(Tb_LCOE[],MATCH(HOME!$A$9,Tb_LCOE[Year],0),HLOOKUP("LCOE"&amp;HOME!$B$65,LCOE!$B$3:$G$4,2,FALSE)+1)/1000),INDEX(Tb_Fuel[],MATCH(B9,Tb_Fuel[Year],0),HLOOKUP(Liquefaction!$E$13&amp;" - Gas",'Fuel Data'!$BB$2:$BX$3,2,FALSE)+1)/0.3))))</f>
        <v>4.657300035949978E-2</v>
      </c>
      <c r="E9" s="766">
        <f>IF(B9=HOME!$A$9,Liquefaction!$D$42,IF(B9&lt;HOME!$A$9,"",IF(B9&gt;Liquefaction!$D$37+HOME!$A$9,"",0)))</f>
        <v>0</v>
      </c>
      <c r="F9" s="766">
        <f>IF(B9=HOME!$A$9,0,IF(B9&lt;HOME!$A$9,"",IF(B9&gt;Liquefaction!$D$37+HOME!$A$9,"",Liquefaction!$D$36*Liquefaction!$D$42)))</f>
        <v>3.6834682914271548</v>
      </c>
      <c r="G9" s="766">
        <f>IF(B9=HOME!$A$9,0,IF(B9&lt;HOME!$A$9,"",IF(B9&gt;Liquefaction!$D$37+HOME!$A$9,"",D9/10^6*Liquefaction!$D$46*1000)))</f>
        <v>2.5879134983675165</v>
      </c>
      <c r="H9" s="767">
        <f>IF(B9=HOME!$A$9,SUM(E9:G9),IF(B9&lt;HOME!$A$9,"",IF(B9&gt;Liquefaction!$D$37+HOME!$A$9,"",SUM(E9:G9))))</f>
        <v>6.2713817897946713</v>
      </c>
      <c r="I9" s="767">
        <f>IF(B9=HOME!$A$9,G9/(1+Liquefaction!$D$38)^C9,IF(B9&lt;HOME!$A$9,"",IF(B9&gt;Liquefaction!$D$37+HOME!$A$9,"",G9/(1+Liquefaction!$D$38)^C9)))</f>
        <v>1.9239622559136949</v>
      </c>
      <c r="J9" s="767">
        <f>IF(B9=HOME!$A$9,H9/(1+Liquefaction!$D$38)^C9,IF(B9&lt;HOME!$A$9,"",IF(B9&gt;Liquefaction!$D$37+HOME!$A$9,"",H9/(1+Liquefaction!$D$38)^C9)))</f>
        <v>4.6624053947710076</v>
      </c>
      <c r="K9" s="768">
        <f>IF(B9=HOME!$A$9,0,IF(B9&lt;HOME!$A$9,"",IF(B9&gt;Liquefaction!$D$37+HOME!$A$9,"",Liquefaction!$D$47)))</f>
        <v>5888.5749999999998</v>
      </c>
      <c r="L9" s="805">
        <f>IF(B9=HOME!$A$9,K9/(1+Liquefaction!$D$38)^C9,IF(B9&lt;HOME!$A$9,"",IF(B9&gt;Liquefaction!$D$37+HOME!$A$9,"",K9/(1+Liquefaction!$D$38)^C9)))</f>
        <v>4377.8109462560051</v>
      </c>
      <c r="N9" s="88"/>
    </row>
    <row r="10" spans="1:14">
      <c r="B10" s="764">
        <v>2028</v>
      </c>
      <c r="C10" s="765">
        <f>IF(B10=HOME!$A$9,B10-HOME!$A$9,IF(B10&lt;HOME!$A$9,"",IF(B10&gt;HOME!$A$9+Liquefaction!$D$37,"",B10-HOME!$A$9)))</f>
        <v>6</v>
      </c>
      <c r="D10" s="766" cm="1">
        <f t="array" ref="D10">IF(B10=HOME!$A$9,0,IF(B10&lt;HOME!$A$9,"",IF(B10&gt;Liquefaction!$D$37+HOME!$A$9,"",IF(HOME!$B$64="Electrolysis",IF(HOME!$B$65="Grid",INDEX(Tb_Fuel[],MATCH(B10,Tb_Fuel[Year],0),HLOOKUP(Liquefaction!$E$13&amp;" - Grid",'Fuel Data'!$BB$2:$BX$3,2,FALSE)+1),INDEX(Tb_LCOE[],MATCH(HOME!$A$9,Tb_LCOE[Year],0),HLOOKUP("LCOE"&amp;HOME!$B$65,LCOE!$B$3:$G$4,2,FALSE)+1)/1000),INDEX(Tb_Fuel[],MATCH(B10,Tb_Fuel[Year],0),HLOOKUP(Liquefaction!$E$13&amp;" - Gas",'Fuel Data'!$BB$2:$BX$3,2,FALSE)+1)/0.3))))</f>
        <v>4.657300035949978E-2</v>
      </c>
      <c r="E10" s="766">
        <f>IF(B10=HOME!$A$9,Liquefaction!$D$42,IF(B10&lt;HOME!$A$9,"",IF(B10&gt;Liquefaction!$D$37+HOME!$A$9,"",0)))</f>
        <v>0</v>
      </c>
      <c r="F10" s="766">
        <f>IF(B10=HOME!$A$9,0,IF(B10&lt;HOME!$A$9,"",IF(B10&gt;Liquefaction!$D$37+HOME!$A$9,"",Liquefaction!$D$36*Liquefaction!$D$42)))</f>
        <v>3.6834682914271548</v>
      </c>
      <c r="G10" s="766">
        <f>IF(B10=HOME!$A$9,0,IF(B10&lt;HOME!$A$9,"",IF(B10&gt;Liquefaction!$D$37+HOME!$A$9,"",D10/10^6*Liquefaction!$D$46*1000)))</f>
        <v>2.5879134983675165</v>
      </c>
      <c r="H10" s="767">
        <f>IF(B10=HOME!$A$9,SUM(E10:G10),IF(B10&lt;HOME!$A$9,"",IF(B10&gt;Liquefaction!$D$37+HOME!$A$9,"",SUM(E10:G10))))</f>
        <v>6.2713817897946713</v>
      </c>
      <c r="I10" s="767">
        <f>IF(B10=HOME!$A$9,G10/(1+Liquefaction!$D$38)^C10,IF(B10&lt;HOME!$A$9,"",IF(B10&gt;Liquefaction!$D$37+HOME!$A$9,"",G10/(1+Liquefaction!$D$38)^C10)))</f>
        <v>1.8132008177086631</v>
      </c>
      <c r="J10" s="767">
        <f>IF(B10=HOME!$A$9,H10/(1+Liquefaction!$D$38)^C10,IF(B10&lt;HOME!$A$9,"",IF(B10&gt;Liquefaction!$D$37+HOME!$A$9,"",H10/(1+Liquefaction!$D$38)^C10)))</f>
        <v>4.3939933064192598</v>
      </c>
      <c r="K10" s="768">
        <f>IF(B10=HOME!$A$9,0,IF(B10&lt;HOME!$A$9,"",IF(B10&gt;Liquefaction!$D$37+HOME!$A$9,"",Liquefaction!$D$47)))</f>
        <v>5888.5749999999998</v>
      </c>
      <c r="L10" s="805">
        <f>IF(B10=HOME!$A$9,K10/(1+Liquefaction!$D$38)^C10,IF(B10&lt;HOME!$A$9,"",IF(B10&gt;Liquefaction!$D$37+HOME!$A$9,"",K10/(1+Liquefaction!$D$38)^C10)))</f>
        <v>4125.7828021972382</v>
      </c>
      <c r="N10" s="88"/>
    </row>
    <row r="11" spans="1:14">
      <c r="B11" s="764">
        <v>2029</v>
      </c>
      <c r="C11" s="765">
        <f>IF(B11=HOME!$A$9,B11-HOME!$A$9,IF(B11&lt;HOME!$A$9,"",IF(B11&gt;HOME!$A$9+Liquefaction!$D$37,"",B11-HOME!$A$9)))</f>
        <v>7</v>
      </c>
      <c r="D11" s="766" cm="1">
        <f t="array" ref="D11">IF(B11=HOME!$A$9,0,IF(B11&lt;HOME!$A$9,"",IF(B11&gt;Liquefaction!$D$37+HOME!$A$9,"",IF(HOME!$B$64="Electrolysis",IF(HOME!$B$65="Grid",INDEX(Tb_Fuel[],MATCH(B11,Tb_Fuel[Year],0),HLOOKUP(Liquefaction!$E$13&amp;" - Grid",'Fuel Data'!$BB$2:$BX$3,2,FALSE)+1),INDEX(Tb_LCOE[],MATCH(HOME!$A$9,Tb_LCOE[Year],0),HLOOKUP("LCOE"&amp;HOME!$B$65,LCOE!$B$3:$G$4,2,FALSE)+1)/1000),INDEX(Tb_Fuel[],MATCH(B11,Tb_Fuel[Year],0),HLOOKUP(Liquefaction!$E$13&amp;" - Gas",'Fuel Data'!$BB$2:$BX$3,2,FALSE)+1)/0.3))))</f>
        <v>4.657300035949978E-2</v>
      </c>
      <c r="E11" s="766">
        <f>IF(B11=HOME!$A$9,Liquefaction!$D$42,IF(B11&lt;HOME!$A$9,"",IF(B11&gt;Liquefaction!$D$37+HOME!$A$9,"",0)))</f>
        <v>0</v>
      </c>
      <c r="F11" s="766">
        <f>IF(B11=HOME!$A$9,0,IF(B11&lt;HOME!$A$9,"",IF(B11&gt;Liquefaction!$D$37+HOME!$A$9,"",Liquefaction!$D$36*Liquefaction!$D$42)))</f>
        <v>3.6834682914271548</v>
      </c>
      <c r="G11" s="766">
        <f>IF(B11=HOME!$A$9,0,IF(B11&lt;HOME!$A$9,"",IF(B11&gt;Liquefaction!$D$37+HOME!$A$9,"",D11/10^6*Liquefaction!$D$46*1000)))</f>
        <v>2.5879134983675165</v>
      </c>
      <c r="H11" s="767">
        <f>IF(B11=HOME!$A$9,SUM(E11:G11),IF(B11&lt;HOME!$A$9,"",IF(B11&gt;Liquefaction!$D$37+HOME!$A$9,"",SUM(E11:G11))))</f>
        <v>6.2713817897946713</v>
      </c>
      <c r="I11" s="767">
        <f>IF(B11=HOME!$A$9,G11/(1+Liquefaction!$D$38)^C11,IF(B11&lt;HOME!$A$9,"",IF(B11&gt;Liquefaction!$D$37+HOME!$A$9,"",G11/(1+Liquefaction!$D$38)^C11)))</f>
        <v>1.7088158539669629</v>
      </c>
      <c r="J11" s="767">
        <f>IF(B11=HOME!$A$9,H11/(1+Liquefaction!$D$38)^C11,IF(B11&lt;HOME!$A$9,"",IF(B11&gt;Liquefaction!$D$37+HOME!$A$9,"",H11/(1+Liquefaction!$D$38)^C11)))</f>
        <v>4.1410335528760953</v>
      </c>
      <c r="K11" s="768">
        <f>IF(B11=HOME!$A$9,0,IF(B11&lt;HOME!$A$9,"",IF(B11&gt;Liquefaction!$D$37+HOME!$A$9,"",Liquefaction!$D$47)))</f>
        <v>5888.5749999999998</v>
      </c>
      <c r="L11" s="805">
        <f>IF(B11=HOME!$A$9,K11/(1+Liquefaction!$D$38)^C11,IF(B11&lt;HOME!$A$9,"",IF(B11&gt;Liquefaction!$D$37+HOME!$A$9,"",K11/(1+Liquefaction!$D$38)^C11)))</f>
        <v>3888.2637783763003</v>
      </c>
      <c r="N11" s="88"/>
    </row>
    <row r="12" spans="1:14">
      <c r="B12" s="764">
        <v>2030</v>
      </c>
      <c r="C12" s="765">
        <f>IF(B12=HOME!$A$9,B12-HOME!$A$9,IF(B12&lt;HOME!$A$9,"",IF(B12&gt;HOME!$A$9+Liquefaction!$D$37,"",B12-HOME!$A$9)))</f>
        <v>8</v>
      </c>
      <c r="D12" s="766" cm="1">
        <f t="array" ref="D12">IF(B12=HOME!$A$9,0,IF(B12&lt;HOME!$A$9,"",IF(B12&gt;Liquefaction!$D$37+HOME!$A$9,"",IF(HOME!$B$64="Electrolysis",IF(HOME!$B$65="Grid",INDEX(Tb_Fuel[],MATCH(B12,Tb_Fuel[Year],0),HLOOKUP(Liquefaction!$E$13&amp;" - Grid",'Fuel Data'!$BB$2:$BX$3,2,FALSE)+1),INDEX(Tb_LCOE[],MATCH(HOME!$A$9,Tb_LCOE[Year],0),HLOOKUP("LCOE"&amp;HOME!$B$65,LCOE!$B$3:$G$4,2,FALSE)+1)/1000),INDEX(Tb_Fuel[],MATCH(B12,Tb_Fuel[Year],0),HLOOKUP(Liquefaction!$E$13&amp;" - Gas",'Fuel Data'!$BB$2:$BX$3,2,FALSE)+1)/0.3))))</f>
        <v>4.657300035949978E-2</v>
      </c>
      <c r="E12" s="766">
        <f>IF(B12=HOME!$A$9,Liquefaction!$D$42,IF(B12&lt;HOME!$A$9,"",IF(B12&gt;Liquefaction!$D$37+HOME!$A$9,"",0)))</f>
        <v>0</v>
      </c>
      <c r="F12" s="766">
        <f>IF(B12=HOME!$A$9,0,IF(B12&lt;HOME!$A$9,"",IF(B12&gt;Liquefaction!$D$37+HOME!$A$9,"",Liquefaction!$D$36*Liquefaction!$D$42)))</f>
        <v>3.6834682914271548</v>
      </c>
      <c r="G12" s="766">
        <f>IF(B12=HOME!$A$9,0,IF(B12&lt;HOME!$A$9,"",IF(B12&gt;Liquefaction!$D$37+HOME!$A$9,"",D12/10^6*Liquefaction!$D$46*1000)))</f>
        <v>2.5879134983675165</v>
      </c>
      <c r="H12" s="767">
        <f>IF(B12=HOME!$A$9,SUM(E12:G12),IF(B12&lt;HOME!$A$9,"",IF(B12&gt;Liquefaction!$D$37+HOME!$A$9,"",SUM(E12:G12))))</f>
        <v>6.2713817897946713</v>
      </c>
      <c r="I12" s="767">
        <f>IF(B12=HOME!$A$9,G12/(1+Liquefaction!$D$38)^C12,IF(B12&lt;HOME!$A$9,"",IF(B12&gt;Liquefaction!$D$37+HOME!$A$9,"",G12/(1+Liquefaction!$D$38)^C12)))</f>
        <v>1.6104402745962256</v>
      </c>
      <c r="J12" s="767">
        <f>IF(B12=HOME!$A$9,H12/(1+Liquefaction!$D$38)^C12,IF(B12&lt;HOME!$A$9,"",IF(B12&gt;Liquefaction!$D$37+HOME!$A$9,"",H12/(1+Liquefaction!$D$38)^C12)))</f>
        <v>3.9026365518112138</v>
      </c>
      <c r="K12" s="768">
        <f>IF(B12=HOME!$A$9,0,IF(B12&lt;HOME!$A$9,"",IF(B12&gt;Liquefaction!$D$37+HOME!$A$9,"",Liquefaction!$D$47)))</f>
        <v>5888.5749999999998</v>
      </c>
      <c r="L12" s="805">
        <f>IF(B12=HOME!$A$9,K12/(1+Liquefaction!$D$38)^C12,IF(B12&lt;HOME!$A$9,"",IF(B12&gt;Liquefaction!$D$37+HOME!$A$9,"",K12/(1+Liquefaction!$D$38)^C12)))</f>
        <v>3664.4185928017191</v>
      </c>
      <c r="N12" s="88"/>
    </row>
    <row r="13" spans="1:14">
      <c r="B13" s="764">
        <v>2031</v>
      </c>
      <c r="C13" s="765">
        <f>IF(B13=HOME!$A$9,B13-HOME!$A$9,IF(B13&lt;HOME!$A$9,"",IF(B13&gt;HOME!$A$9+Liquefaction!$D$37,"",B13-HOME!$A$9)))</f>
        <v>9</v>
      </c>
      <c r="D13" s="766" cm="1">
        <f t="array" ref="D13">IF(B13=HOME!$A$9,0,IF(B13&lt;HOME!$A$9,"",IF(B13&gt;Liquefaction!$D$37+HOME!$A$9,"",IF(HOME!$B$64="Electrolysis",IF(HOME!$B$65="Grid",INDEX(Tb_Fuel[],MATCH(B13,Tb_Fuel[Year],0),HLOOKUP(Liquefaction!$E$13&amp;" - Grid",'Fuel Data'!$BB$2:$BX$3,2,FALSE)+1),INDEX(Tb_LCOE[],MATCH(HOME!$A$9,Tb_LCOE[Year],0),HLOOKUP("LCOE"&amp;HOME!$B$65,LCOE!$B$3:$G$4,2,FALSE)+1)/1000),INDEX(Tb_Fuel[],MATCH(B13,Tb_Fuel[Year],0),HLOOKUP(Liquefaction!$E$13&amp;" - Gas",'Fuel Data'!$BB$2:$BX$3,2,FALSE)+1)/0.3))))</f>
        <v>4.657300035949978E-2</v>
      </c>
      <c r="E13" s="766">
        <f>IF(B13=HOME!$A$9,Liquefaction!$D$42,IF(B13&lt;HOME!$A$9,"",IF(B13&gt;Liquefaction!$D$37+HOME!$A$9,"",0)))</f>
        <v>0</v>
      </c>
      <c r="F13" s="766">
        <f>IF(B13=HOME!$A$9,0,IF(B13&lt;HOME!$A$9,"",IF(B13&gt;Liquefaction!$D$37+HOME!$A$9,"",Liquefaction!$D$36*Liquefaction!$D$42)))</f>
        <v>3.6834682914271548</v>
      </c>
      <c r="G13" s="766">
        <f>IF(B13=HOME!$A$9,0,IF(B13&lt;HOME!$A$9,"",IF(B13&gt;Liquefaction!$D$37+HOME!$A$9,"",D13/10^6*Liquefaction!$D$46*1000)))</f>
        <v>2.5879134983675165</v>
      </c>
      <c r="H13" s="767">
        <f>IF(B13=HOME!$A$9,SUM(E13:G13),IF(B13&lt;HOME!$A$9,"",IF(B13&gt;Liquefaction!$D$37+HOME!$A$9,"",SUM(E13:G13))))</f>
        <v>6.2713817897946713</v>
      </c>
      <c r="I13" s="767">
        <f>IF(B13=HOME!$A$9,G13/(1+Liquefaction!$D$38)^C13,IF(B13&lt;HOME!$A$9,"",IF(B13&gt;Liquefaction!$D$37+HOME!$A$9,"",G13/(1+Liquefaction!$D$38)^C13)))</f>
        <v>1.5177281226767623</v>
      </c>
      <c r="J13" s="767">
        <f>IF(B13=HOME!$A$9,H13/(1+Liquefaction!$D$38)^C13,IF(B13&lt;HOME!$A$9,"",IF(B13&gt;Liquefaction!$D$37+HOME!$A$9,"",H13/(1+Liquefaction!$D$38)^C13)))</f>
        <v>3.6779639336548593</v>
      </c>
      <c r="K13" s="768">
        <f>IF(B13=HOME!$A$9,0,IF(B13&lt;HOME!$A$9,"",IF(B13&gt;Liquefaction!$D$37+HOME!$A$9,"",Liquefaction!$D$47)))</f>
        <v>5888.5749999999998</v>
      </c>
      <c r="L13" s="805">
        <f>IF(B13=HOME!$A$9,K13/(1+Liquefaction!$D$38)^C13,IF(B13&lt;HOME!$A$9,"",IF(B13&gt;Liquefaction!$D$37+HOME!$A$9,"",K13/(1+Liquefaction!$D$38)^C13)))</f>
        <v>3453.4600502022313</v>
      </c>
      <c r="N13" s="88"/>
    </row>
    <row r="14" spans="1:14">
      <c r="B14" s="764">
        <v>2032</v>
      </c>
      <c r="C14" s="765">
        <f>IF(B14=HOME!$A$9,B14-HOME!$A$9,IF(B14&lt;HOME!$A$9,"",IF(B14&gt;HOME!$A$9+Liquefaction!$D$37,"",B14-HOME!$A$9)))</f>
        <v>10</v>
      </c>
      <c r="D14" s="766" cm="1">
        <f t="array" ref="D14">IF(B14=HOME!$A$9,0,IF(B14&lt;HOME!$A$9,"",IF(B14&gt;Liquefaction!$D$37+HOME!$A$9,"",IF(HOME!$B$64="Electrolysis",IF(HOME!$B$65="Grid",INDEX(Tb_Fuel[],MATCH(B14,Tb_Fuel[Year],0),HLOOKUP(Liquefaction!$E$13&amp;" - Grid",'Fuel Data'!$BB$2:$BX$3,2,FALSE)+1),INDEX(Tb_LCOE[],MATCH(HOME!$A$9,Tb_LCOE[Year],0),HLOOKUP("LCOE"&amp;HOME!$B$65,LCOE!$B$3:$G$4,2,FALSE)+1)/1000),INDEX(Tb_Fuel[],MATCH(B14,Tb_Fuel[Year],0),HLOOKUP(Liquefaction!$E$13&amp;" - Gas",'Fuel Data'!$BB$2:$BX$3,2,FALSE)+1)/0.3))))</f>
        <v>4.657300035949978E-2</v>
      </c>
      <c r="E14" s="766">
        <f>IF(B14=HOME!$A$9,Liquefaction!$D$42,IF(B14&lt;HOME!$A$9,"",IF(B14&gt;Liquefaction!$D$37+HOME!$A$9,"",0)))</f>
        <v>0</v>
      </c>
      <c r="F14" s="766">
        <f>IF(B14=HOME!$A$9,0,IF(B14&lt;HOME!$A$9,"",IF(B14&gt;Liquefaction!$D$37+HOME!$A$9,"",Liquefaction!$D$36*Liquefaction!$D$42)))</f>
        <v>3.6834682914271548</v>
      </c>
      <c r="G14" s="766">
        <f>IF(B14=HOME!$A$9,0,IF(B14&lt;HOME!$A$9,"",IF(B14&gt;Liquefaction!$D$37+HOME!$A$9,"",D14/10^6*Liquefaction!$D$46*1000)))</f>
        <v>2.5879134983675165</v>
      </c>
      <c r="H14" s="767">
        <f>IF(B14=HOME!$A$9,SUM(E14:G14),IF(B14&lt;HOME!$A$9,"",IF(B14&gt;Liquefaction!$D$37+HOME!$A$9,"",SUM(E14:G14))))</f>
        <v>6.2713817897946713</v>
      </c>
      <c r="I14" s="767">
        <f>IF(B14=HOME!$A$9,G14/(1+Liquefaction!$D$38)^C14,IF(B14&lt;HOME!$A$9,"",IF(B14&gt;Liquefaction!$D$37+HOME!$A$9,"",G14/(1+Liquefaction!$D$38)^C14)))</f>
        <v>1.4303533578365513</v>
      </c>
      <c r="J14" s="767">
        <f>IF(B14=HOME!$A$9,H14/(1+Liquefaction!$D$38)^C14,IF(B14&lt;HOME!$A$9,"",IF(B14&gt;Liquefaction!$D$37+HOME!$A$9,"",H14/(1+Liquefaction!$D$38)^C14)))</f>
        <v>3.4662255933076453</v>
      </c>
      <c r="K14" s="768">
        <f>IF(B14=HOME!$A$9,0,IF(B14&lt;HOME!$A$9,"",IF(B14&gt;Liquefaction!$D$37+HOME!$A$9,"",Liquefaction!$D$47)))</f>
        <v>5888.5749999999998</v>
      </c>
      <c r="L14" s="805">
        <f>IF(B14=HOME!$A$9,K14/(1+Liquefaction!$D$38)^C14,IF(B14&lt;HOME!$A$9,"",IF(B14&gt;Liquefaction!$D$37+HOME!$A$9,"",K14/(1+Liquefaction!$D$38)^C14)))</f>
        <v>3254.6462737010052</v>
      </c>
      <c r="N14" s="88"/>
    </row>
    <row r="15" spans="1:14">
      <c r="B15" s="764">
        <v>2033</v>
      </c>
      <c r="C15" s="765">
        <f>IF(B15=HOME!$A$9,B15-HOME!$A$9,IF(B15&lt;HOME!$A$9,"",IF(B15&gt;HOME!$A$9+Liquefaction!$D$37,"",B15-HOME!$A$9)))</f>
        <v>11</v>
      </c>
      <c r="D15" s="766" cm="1">
        <f t="array" ref="D15">IF(B15=HOME!$A$9,0,IF(B15&lt;HOME!$A$9,"",IF(B15&gt;Liquefaction!$D$37+HOME!$A$9,"",IF(HOME!$B$64="Electrolysis",IF(HOME!$B$65="Grid",INDEX(Tb_Fuel[],MATCH(B15,Tb_Fuel[Year],0),HLOOKUP(Liquefaction!$E$13&amp;" - Grid",'Fuel Data'!$BB$2:$BX$3,2,FALSE)+1),INDEX(Tb_LCOE[],MATCH(HOME!$A$9,Tb_LCOE[Year],0),HLOOKUP("LCOE"&amp;HOME!$B$65,LCOE!$B$3:$G$4,2,FALSE)+1)/1000),INDEX(Tb_Fuel[],MATCH(B15,Tb_Fuel[Year],0),HLOOKUP(Liquefaction!$E$13&amp;" - Gas",'Fuel Data'!$BB$2:$BX$3,2,FALSE)+1)/0.3))))</f>
        <v>4.657300035949978E-2</v>
      </c>
      <c r="E15" s="766">
        <f>IF(B15=HOME!$A$9,Liquefaction!$D$42,IF(B15&lt;HOME!$A$9,"",IF(B15&gt;Liquefaction!$D$37+HOME!$A$9,"",0)))</f>
        <v>0</v>
      </c>
      <c r="F15" s="766">
        <f>IF(B15=HOME!$A$9,0,IF(B15&lt;HOME!$A$9,"",IF(B15&gt;Liquefaction!$D$37+HOME!$A$9,"",Liquefaction!$D$36*Liquefaction!$D$42)))</f>
        <v>3.6834682914271548</v>
      </c>
      <c r="G15" s="766">
        <f>IF(B15=HOME!$A$9,0,IF(B15&lt;HOME!$A$9,"",IF(B15&gt;Liquefaction!$D$37+HOME!$A$9,"",D15/10^6*Liquefaction!$D$46*1000)))</f>
        <v>2.5879134983675165</v>
      </c>
      <c r="H15" s="767">
        <f>IF(B15=HOME!$A$9,SUM(E15:G15),IF(B15&lt;HOME!$A$9,"",IF(B15&gt;Liquefaction!$D$37+HOME!$A$9,"",SUM(E15:G15))))</f>
        <v>6.2713817897946713</v>
      </c>
      <c r="I15" s="767">
        <f>IF(B15=HOME!$A$9,G15/(1+Liquefaction!$D$38)^C15,IF(B15&lt;HOME!$A$9,"",IF(B15&gt;Liquefaction!$D$37+HOME!$A$9,"",G15/(1+Liquefaction!$D$38)^C15)))</f>
        <v>1.3480087096666551</v>
      </c>
      <c r="J15" s="767">
        <f>IF(B15=HOME!$A$9,H15/(1+Liquefaction!$D$38)^C15,IF(B15&lt;HOME!$A$9,"",IF(B15&gt;Liquefaction!$D$37+HOME!$A$9,"",H15/(1+Liquefaction!$D$38)^C15)))</f>
        <v>3.2666769115818086</v>
      </c>
      <c r="K15" s="768">
        <f>IF(B15=HOME!$A$9,0,IF(B15&lt;HOME!$A$9,"",IF(B15&gt;Liquefaction!$D$37+HOME!$A$9,"",Liquefaction!$D$47)))</f>
        <v>5888.5749999999998</v>
      </c>
      <c r="L15" s="805">
        <f>IF(B15=HOME!$A$9,K15/(1+Liquefaction!$D$38)^C15,IF(B15&lt;HOME!$A$9,"",IF(B15&gt;Liquefaction!$D$37+HOME!$A$9,"",K15/(1+Liquefaction!$D$38)^C15)))</f>
        <v>3067.2780958608564</v>
      </c>
      <c r="N15" s="88"/>
    </row>
    <row r="16" spans="1:14">
      <c r="B16" s="764">
        <v>2034</v>
      </c>
      <c r="C16" s="765">
        <f>IF(B16=HOME!$A$9,B16-HOME!$A$9,IF(B16&lt;HOME!$A$9,"",IF(B16&gt;HOME!$A$9+Liquefaction!$D$37,"",B16-HOME!$A$9)))</f>
        <v>12</v>
      </c>
      <c r="D16" s="766" cm="1">
        <f t="array" ref="D16">IF(B16=HOME!$A$9,0,IF(B16&lt;HOME!$A$9,"",IF(B16&gt;Liquefaction!$D$37+HOME!$A$9,"",IF(HOME!$B$64="Electrolysis",IF(HOME!$B$65="Grid",INDEX(Tb_Fuel[],MATCH(B16,Tb_Fuel[Year],0),HLOOKUP(Liquefaction!$E$13&amp;" - Grid",'Fuel Data'!$BB$2:$BX$3,2,FALSE)+1),INDEX(Tb_LCOE[],MATCH(HOME!$A$9,Tb_LCOE[Year],0),HLOOKUP("LCOE"&amp;HOME!$B$65,LCOE!$B$3:$G$4,2,FALSE)+1)/1000),INDEX(Tb_Fuel[],MATCH(B16,Tb_Fuel[Year],0),HLOOKUP(Liquefaction!$E$13&amp;" - Gas",'Fuel Data'!$BB$2:$BX$3,2,FALSE)+1)/0.3))))</f>
        <v>4.657300035949978E-2</v>
      </c>
      <c r="E16" s="766">
        <f>IF(B16=HOME!$A$9,Liquefaction!$D$42,IF(B16&lt;HOME!$A$9,"",IF(B16&gt;Liquefaction!$D$37+HOME!$A$9,"",0)))</f>
        <v>0</v>
      </c>
      <c r="F16" s="766">
        <f>IF(B16=HOME!$A$9,0,IF(B16&lt;HOME!$A$9,"",IF(B16&gt;Liquefaction!$D$37+HOME!$A$9,"",Liquefaction!$D$36*Liquefaction!$D$42)))</f>
        <v>3.6834682914271548</v>
      </c>
      <c r="G16" s="766">
        <f>IF(B16=HOME!$A$9,0,IF(B16&lt;HOME!$A$9,"",IF(B16&gt;Liquefaction!$D$37+HOME!$A$9,"",D16/10^6*Liquefaction!$D$46*1000)))</f>
        <v>2.5879134983675165</v>
      </c>
      <c r="H16" s="767">
        <f>IF(B16=HOME!$A$9,SUM(E16:G16),IF(B16&lt;HOME!$A$9,"",IF(B16&gt;Liquefaction!$D$37+HOME!$A$9,"",SUM(E16:G16))))</f>
        <v>6.2713817897946713</v>
      </c>
      <c r="I16" s="767">
        <f>IF(B16=HOME!$A$9,G16/(1+Liquefaction!$D$38)^C16,IF(B16&lt;HOME!$A$9,"",IF(B16&gt;Liquefaction!$D$37+HOME!$A$9,"",G16/(1+Liquefaction!$D$38)^C16)))</f>
        <v>1.2704045971448734</v>
      </c>
      <c r="J16" s="767">
        <f>IF(B16=HOME!$A$9,H16/(1+Liquefaction!$D$38)^C16,IF(B16&lt;HOME!$A$9,"",IF(B16&gt;Liquefaction!$D$37+HOME!$A$9,"",H16/(1+Liquefaction!$D$38)^C16)))</f>
        <v>3.0786161366025508</v>
      </c>
      <c r="K16" s="768">
        <f>IF(B16=HOME!$A$9,0,IF(B16&lt;HOME!$A$9,"",IF(B16&gt;Liquefaction!$D$37+HOME!$A$9,"",Liquefaction!$D$47)))</f>
        <v>5888.5749999999998</v>
      </c>
      <c r="L16" s="805">
        <f>IF(B16=HOME!$A$9,K16/(1+Liquefaction!$D$38)^C16,IF(B16&lt;HOME!$A$9,"",IF(B16&gt;Liquefaction!$D$37+HOME!$A$9,"",K16/(1+Liquefaction!$D$38)^C16)))</f>
        <v>2890.6965999255335</v>
      </c>
      <c r="N16" s="88"/>
    </row>
    <row r="17" spans="2:14">
      <c r="B17" s="764">
        <v>2035</v>
      </c>
      <c r="C17" s="765">
        <f>IF(B17=HOME!$A$9,B17-HOME!$A$9,IF(B17&lt;HOME!$A$9,"",IF(B17&gt;HOME!$A$9+Liquefaction!$D$37,"",B17-HOME!$A$9)))</f>
        <v>13</v>
      </c>
      <c r="D17" s="766" cm="1">
        <f t="array" ref="D17">IF(B17=HOME!$A$9,0,IF(B17&lt;HOME!$A$9,"",IF(B17&gt;Liquefaction!$D$37+HOME!$A$9,"",IF(HOME!$B$64="Electrolysis",IF(HOME!$B$65="Grid",INDEX(Tb_Fuel[],MATCH(B17,Tb_Fuel[Year],0),HLOOKUP(Liquefaction!$E$13&amp;" - Grid",'Fuel Data'!$BB$2:$BX$3,2,FALSE)+1),INDEX(Tb_LCOE[],MATCH(HOME!$A$9,Tb_LCOE[Year],0),HLOOKUP("LCOE"&amp;HOME!$B$65,LCOE!$B$3:$G$4,2,FALSE)+1)/1000),INDEX(Tb_Fuel[],MATCH(B17,Tb_Fuel[Year],0),HLOOKUP(Liquefaction!$E$13&amp;" - Gas",'Fuel Data'!$BB$2:$BX$3,2,FALSE)+1)/0.3))))</f>
        <v>4.657300035949978E-2</v>
      </c>
      <c r="E17" s="766">
        <f>IF(B17=HOME!$A$9,Liquefaction!$D$42,IF(B17&lt;HOME!$A$9,"",IF(B17&gt;Liquefaction!$D$37+HOME!$A$9,"",0)))</f>
        <v>0</v>
      </c>
      <c r="F17" s="766">
        <f>IF(B17=HOME!$A$9,0,IF(B17&lt;HOME!$A$9,"",IF(B17&gt;Liquefaction!$D$37+HOME!$A$9,"",Liquefaction!$D$36*Liquefaction!$D$42)))</f>
        <v>3.6834682914271548</v>
      </c>
      <c r="G17" s="766">
        <f>IF(B17=HOME!$A$9,0,IF(B17&lt;HOME!$A$9,"",IF(B17&gt;Liquefaction!$D$37+HOME!$A$9,"",D17/10^6*Liquefaction!$D$46*1000)))</f>
        <v>2.5879134983675165</v>
      </c>
      <c r="H17" s="767">
        <f>IF(B17=HOME!$A$9,SUM(E17:G17),IF(B17&lt;HOME!$A$9,"",IF(B17&gt;Liquefaction!$D$37+HOME!$A$9,"",SUM(E17:G17))))</f>
        <v>6.2713817897946713</v>
      </c>
      <c r="I17" s="767">
        <f>IF(B17=HOME!$A$9,G17/(1+Liquefaction!$D$38)^C17,IF(B17&lt;HOME!$A$9,"",IF(B17&gt;Liquefaction!$D$37+HOME!$A$9,"",G17/(1+Liquefaction!$D$38)^C17)))</f>
        <v>1.1972681102675746</v>
      </c>
      <c r="J17" s="767">
        <f>IF(B17=HOME!$A$9,H17/(1+Liquefaction!$D$38)^C17,IF(B17&lt;HOME!$A$9,"",IF(B17&gt;Liquefaction!$D$37+HOME!$A$9,"",H17/(1+Liquefaction!$D$38)^C17)))</f>
        <v>2.9013819159606395</v>
      </c>
      <c r="K17" s="768">
        <f>IF(B17=HOME!$A$9,0,IF(B17&lt;HOME!$A$9,"",IF(B17&gt;Liquefaction!$D$37+HOME!$A$9,"",Liquefaction!$D$47)))</f>
        <v>5888.5749999999998</v>
      </c>
      <c r="L17" s="805">
        <f>IF(B17=HOME!$A$9,K17/(1+Liquefaction!$D$38)^C17,IF(B17&lt;HOME!$A$9,"",IF(B17&gt;Liquefaction!$D$37+HOME!$A$9,"",K17/(1+Liquefaction!$D$38)^C17)))</f>
        <v>2724.2808026103758</v>
      </c>
      <c r="N17" s="88"/>
    </row>
    <row r="18" spans="2:14">
      <c r="B18" s="764">
        <v>2036</v>
      </c>
      <c r="C18" s="765">
        <f>IF(B18=HOME!$A$9,B18-HOME!$A$9,IF(B18&lt;HOME!$A$9,"",IF(B18&gt;HOME!$A$9+Liquefaction!$D$37,"",B18-HOME!$A$9)))</f>
        <v>14</v>
      </c>
      <c r="D18" s="766" cm="1">
        <f t="array" ref="D18">IF(B18=HOME!$A$9,0,IF(B18&lt;HOME!$A$9,"",IF(B18&gt;Liquefaction!$D$37+HOME!$A$9,"",IF(HOME!$B$64="Electrolysis",IF(HOME!$B$65="Grid",INDEX(Tb_Fuel[],MATCH(B18,Tb_Fuel[Year],0),HLOOKUP(Liquefaction!$E$13&amp;" - Grid",'Fuel Data'!$BB$2:$BX$3,2,FALSE)+1),INDEX(Tb_LCOE[],MATCH(HOME!$A$9,Tb_LCOE[Year],0),HLOOKUP("LCOE"&amp;HOME!$B$65,LCOE!$B$3:$G$4,2,FALSE)+1)/1000),INDEX(Tb_Fuel[],MATCH(B18,Tb_Fuel[Year],0),HLOOKUP(Liquefaction!$E$13&amp;" - Gas",'Fuel Data'!$BB$2:$BX$3,2,FALSE)+1)/0.3))))</f>
        <v>4.657300035949978E-2</v>
      </c>
      <c r="E18" s="766">
        <f>IF(B18=HOME!$A$9,Liquefaction!$D$42,IF(B18&lt;HOME!$A$9,"",IF(B18&gt;Liquefaction!$D$37+HOME!$A$9,"",0)))</f>
        <v>0</v>
      </c>
      <c r="F18" s="766">
        <f>IF(B18=HOME!$A$9,0,IF(B18&lt;HOME!$A$9,"",IF(B18&gt;Liquefaction!$D$37+HOME!$A$9,"",Liquefaction!$D$36*Liquefaction!$D$42)))</f>
        <v>3.6834682914271548</v>
      </c>
      <c r="G18" s="766">
        <f>IF(B18=HOME!$A$9,0,IF(B18&lt;HOME!$A$9,"",IF(B18&gt;Liquefaction!$D$37+HOME!$A$9,"",D18/10^6*Liquefaction!$D$46*1000)))</f>
        <v>2.5879134983675165</v>
      </c>
      <c r="H18" s="767">
        <f>IF(B18=HOME!$A$9,SUM(E18:G18),IF(B18&lt;HOME!$A$9,"",IF(B18&gt;Liquefaction!$D$37+HOME!$A$9,"",SUM(E18:G18))))</f>
        <v>6.2713817897946713</v>
      </c>
      <c r="I18" s="767">
        <f>IF(B18=HOME!$A$9,G18/(1+Liquefaction!$D$38)^C18,IF(B18&lt;HOME!$A$9,"",IF(B18&gt;Liquefaction!$D$37+HOME!$A$9,"",G18/(1+Liquefaction!$D$38)^C18)))</f>
        <v>1.1283420503084203</v>
      </c>
      <c r="J18" s="767">
        <f>IF(B18=HOME!$A$9,H18/(1+Liquefaction!$D$38)^C18,IF(B18&lt;HOME!$A$9,"",IF(B18&gt;Liquefaction!$D$37+HOME!$A$9,"",H18/(1+Liquefaction!$D$38)^C18)))</f>
        <v>2.7343509709376268</v>
      </c>
      <c r="K18" s="768">
        <f>IF(B18=HOME!$A$9,0,IF(B18&lt;HOME!$A$9,"",IF(B18&gt;Liquefaction!$D$37+HOME!$A$9,"",Liquefaction!$D$47)))</f>
        <v>5888.5749999999998</v>
      </c>
      <c r="L18" s="805">
        <f>IF(B18=HOME!$A$9,K18/(1+Liquefaction!$D$38)^C18,IF(B18&lt;HOME!$A$9,"",IF(B18&gt;Liquefaction!$D$37+HOME!$A$9,"",K18/(1+Liquefaction!$D$38)^C18)))</f>
        <v>2567.4454702934304</v>
      </c>
      <c r="N18" s="88"/>
    </row>
    <row r="19" spans="2:14">
      <c r="B19" s="764">
        <v>2037</v>
      </c>
      <c r="C19" s="765">
        <f>IF(B19=HOME!$A$9,B19-HOME!$A$9,IF(B19&lt;HOME!$A$9,"",IF(B19&gt;HOME!$A$9+Liquefaction!$D$37,"",B19-HOME!$A$9)))</f>
        <v>15</v>
      </c>
      <c r="D19" s="766" cm="1">
        <f t="array" ref="D19">IF(B19=HOME!$A$9,0,IF(B19&lt;HOME!$A$9,"",IF(B19&gt;Liquefaction!$D$37+HOME!$A$9,"",IF(HOME!$B$64="Electrolysis",IF(HOME!$B$65="Grid",INDEX(Tb_Fuel[],MATCH(B19,Tb_Fuel[Year],0),HLOOKUP(Liquefaction!$E$13&amp;" - Grid",'Fuel Data'!$BB$2:$BX$3,2,FALSE)+1),INDEX(Tb_LCOE[],MATCH(HOME!$A$9,Tb_LCOE[Year],0),HLOOKUP("LCOE"&amp;HOME!$B$65,LCOE!$B$3:$G$4,2,FALSE)+1)/1000),INDEX(Tb_Fuel[],MATCH(B19,Tb_Fuel[Year],0),HLOOKUP(Liquefaction!$E$13&amp;" - Gas",'Fuel Data'!$BB$2:$BX$3,2,FALSE)+1)/0.3))))</f>
        <v>4.657300035949978E-2</v>
      </c>
      <c r="E19" s="766">
        <f>IF(B19=HOME!$A$9,Liquefaction!$D$42,IF(B19&lt;HOME!$A$9,"",IF(B19&gt;Liquefaction!$D$37+HOME!$A$9,"",0)))</f>
        <v>0</v>
      </c>
      <c r="F19" s="766">
        <f>IF(B19=HOME!$A$9,0,IF(B19&lt;HOME!$A$9,"",IF(B19&gt;Liquefaction!$D$37+HOME!$A$9,"",Liquefaction!$D$36*Liquefaction!$D$42)))</f>
        <v>3.6834682914271548</v>
      </c>
      <c r="G19" s="766">
        <f>IF(B19=HOME!$A$9,0,IF(B19&lt;HOME!$A$9,"",IF(B19&gt;Liquefaction!$D$37+HOME!$A$9,"",D19/10^6*Liquefaction!$D$46*1000)))</f>
        <v>2.5879134983675165</v>
      </c>
      <c r="H19" s="767">
        <f>IF(B19=HOME!$A$9,SUM(E19:G19),IF(B19&lt;HOME!$A$9,"",IF(B19&gt;Liquefaction!$D$37+HOME!$A$9,"",SUM(E19:G19))))</f>
        <v>6.2713817897946713</v>
      </c>
      <c r="I19" s="767">
        <f>IF(B19=HOME!$A$9,G19/(1+Liquefaction!$D$38)^C19,IF(B19&lt;HOME!$A$9,"",IF(B19&gt;Liquefaction!$D$37+HOME!$A$9,"",G19/(1+Liquefaction!$D$38)^C19)))</f>
        <v>1.0633840253288591</v>
      </c>
      <c r="J19" s="767">
        <f>IF(B19=HOME!$A$9,H19/(1+Liquefaction!$D$38)^C19,IF(B19&lt;HOME!$A$9,"",IF(B19&gt;Liquefaction!$D$37+HOME!$A$9,"",H19/(1+Liquefaction!$D$38)^C19)))</f>
        <v>2.5769359046246207</v>
      </c>
      <c r="K19" s="768">
        <f>IF(B19=HOME!$A$9,0,IF(B19&lt;HOME!$A$9,"",IF(B19&gt;Liquefaction!$D$37+HOME!$A$9,"",Liquefaction!$D$47)))</f>
        <v>5888.5749999999998</v>
      </c>
      <c r="L19" s="805">
        <f>IF(B19=HOME!$A$9,K19/(1+Liquefaction!$D$38)^C19,IF(B19&lt;HOME!$A$9,"",IF(B19&gt;Liquefaction!$D$37+HOME!$A$9,"",K19/(1+Liquefaction!$D$38)^C19)))</f>
        <v>2419.6390609272325</v>
      </c>
      <c r="N19" s="88"/>
    </row>
    <row r="20" spans="2:14">
      <c r="B20" s="764">
        <v>2038</v>
      </c>
      <c r="C20" s="765">
        <f>IF(B20=HOME!$A$9,B20-HOME!$A$9,IF(B20&lt;HOME!$A$9,"",IF(B20&gt;HOME!$A$9+Liquefaction!$D$37,"",B20-HOME!$A$9)))</f>
        <v>16</v>
      </c>
      <c r="D20" s="766" cm="1">
        <f t="array" ref="D20">IF(B20=HOME!$A$9,0,IF(B20&lt;HOME!$A$9,"",IF(B20&gt;Liquefaction!$D$37+HOME!$A$9,"",IF(HOME!$B$64="Electrolysis",IF(HOME!$B$65="Grid",INDEX(Tb_Fuel[],MATCH(B20,Tb_Fuel[Year],0),HLOOKUP(Liquefaction!$E$13&amp;" - Grid",'Fuel Data'!$BB$2:$BX$3,2,FALSE)+1),INDEX(Tb_LCOE[],MATCH(HOME!$A$9,Tb_LCOE[Year],0),HLOOKUP("LCOE"&amp;HOME!$B$65,LCOE!$B$3:$G$4,2,FALSE)+1)/1000),INDEX(Tb_Fuel[],MATCH(B20,Tb_Fuel[Year],0),HLOOKUP(Liquefaction!$E$13&amp;" - Gas",'Fuel Data'!$BB$2:$BX$3,2,FALSE)+1)/0.3))))</f>
        <v>4.657300035949978E-2</v>
      </c>
      <c r="E20" s="766">
        <f>IF(B20=HOME!$A$9,Liquefaction!$D$42,IF(B20&lt;HOME!$A$9,"",IF(B20&gt;Liquefaction!$D$37+HOME!$A$9,"",0)))</f>
        <v>0</v>
      </c>
      <c r="F20" s="766">
        <f>IF(B20=HOME!$A$9,0,IF(B20&lt;HOME!$A$9,"",IF(B20&gt;Liquefaction!$D$37+HOME!$A$9,"",Liquefaction!$D$36*Liquefaction!$D$42)))</f>
        <v>3.6834682914271548</v>
      </c>
      <c r="G20" s="766">
        <f>IF(B20=HOME!$A$9,0,IF(B20&lt;HOME!$A$9,"",IF(B20&gt;Liquefaction!$D$37+HOME!$A$9,"",D20/10^6*Liquefaction!$D$46*1000)))</f>
        <v>2.5879134983675165</v>
      </c>
      <c r="H20" s="767">
        <f>IF(B20=HOME!$A$9,SUM(E20:G20),IF(B20&lt;HOME!$A$9,"",IF(B20&gt;Liquefaction!$D$37+HOME!$A$9,"",SUM(E20:G20))))</f>
        <v>6.2713817897946713</v>
      </c>
      <c r="I20" s="767">
        <f>IF(B20=HOME!$A$9,G20/(1+Liquefaction!$D$38)^C20,IF(B20&lt;HOME!$A$9,"",IF(B20&gt;Liquefaction!$D$37+HOME!$A$9,"",G20/(1+Liquefaction!$D$38)^C20)))</f>
        <v>1.0021655977595796</v>
      </c>
      <c r="J20" s="767">
        <f>IF(B20=HOME!$A$9,H20/(1+Liquefaction!$D$38)^C20,IF(B20&lt;HOME!$A$9,"",IF(B20&gt;Liquefaction!$D$37+HOME!$A$9,"",H20/(1+Liquefaction!$D$38)^C20)))</f>
        <v>2.4285831362264392</v>
      </c>
      <c r="K20" s="768">
        <f>IF(B20=HOME!$A$9,0,IF(B20&lt;HOME!$A$9,"",IF(B20&gt;Liquefaction!$D$37+HOME!$A$9,"",Liquefaction!$D$47)))</f>
        <v>5888.5749999999998</v>
      </c>
      <c r="L20" s="805">
        <f>IF(B20=HOME!$A$9,K20/(1+Liquefaction!$D$38)^C20,IF(B20&lt;HOME!$A$9,"",IF(B20&gt;Liquefaction!$D$37+HOME!$A$9,"",K20/(1+Liquefaction!$D$38)^C20)))</f>
        <v>2280.341784433574</v>
      </c>
      <c r="N20" s="88"/>
    </row>
    <row r="21" spans="2:14">
      <c r="B21" s="764">
        <v>2039</v>
      </c>
      <c r="C21" s="765">
        <f>IF(B21=HOME!$A$9,B21-HOME!$A$9,IF(B21&lt;HOME!$A$9,"",IF(B21&gt;HOME!$A$9+Liquefaction!$D$37,"",B21-HOME!$A$9)))</f>
        <v>17</v>
      </c>
      <c r="D21" s="766" cm="1">
        <f t="array" ref="D21">IF(B21=HOME!$A$9,0,IF(B21&lt;HOME!$A$9,"",IF(B21&gt;Liquefaction!$D$37+HOME!$A$9,"",IF(HOME!$B$64="Electrolysis",IF(HOME!$B$65="Grid",INDEX(Tb_Fuel[],MATCH(B21,Tb_Fuel[Year],0),HLOOKUP(Liquefaction!$E$13&amp;" - Grid",'Fuel Data'!$BB$2:$BX$3,2,FALSE)+1),INDEX(Tb_LCOE[],MATCH(HOME!$A$9,Tb_LCOE[Year],0),HLOOKUP("LCOE"&amp;HOME!$B$65,LCOE!$B$3:$G$4,2,FALSE)+1)/1000),INDEX(Tb_Fuel[],MATCH(B21,Tb_Fuel[Year],0),HLOOKUP(Liquefaction!$E$13&amp;" - Gas",'Fuel Data'!$BB$2:$BX$3,2,FALSE)+1)/0.3))))</f>
        <v>4.657300035949978E-2</v>
      </c>
      <c r="E21" s="766">
        <f>IF(B21=HOME!$A$9,Liquefaction!$D$42,IF(B21&lt;HOME!$A$9,"",IF(B21&gt;Liquefaction!$D$37+HOME!$A$9,"",0)))</f>
        <v>0</v>
      </c>
      <c r="F21" s="766">
        <f>IF(B21=HOME!$A$9,0,IF(B21&lt;HOME!$A$9,"",IF(B21&gt;Liquefaction!$D$37+HOME!$A$9,"",Liquefaction!$D$36*Liquefaction!$D$42)))</f>
        <v>3.6834682914271548</v>
      </c>
      <c r="G21" s="766">
        <f>IF(B21=HOME!$A$9,0,IF(B21&lt;HOME!$A$9,"",IF(B21&gt;Liquefaction!$D$37+HOME!$A$9,"",D21/10^6*Liquefaction!$D$46*1000)))</f>
        <v>2.5879134983675165</v>
      </c>
      <c r="H21" s="767">
        <f>IF(B21=HOME!$A$9,SUM(E21:G21),IF(B21&lt;HOME!$A$9,"",IF(B21&gt;Liquefaction!$D$37+HOME!$A$9,"",SUM(E21:G21))))</f>
        <v>6.2713817897946713</v>
      </c>
      <c r="I21" s="767">
        <f>IF(B21=HOME!$A$9,G21/(1+Liquefaction!$D$38)^C21,IF(B21&lt;HOME!$A$9,"",IF(B21&gt;Liquefaction!$D$37+HOME!$A$9,"",G21/(1+Liquefaction!$D$38)^C21)))</f>
        <v>0.94447148105522583</v>
      </c>
      <c r="J21" s="767">
        <f>IF(B21=HOME!$A$9,H21/(1+Liquefaction!$D$38)^C21,IF(B21&lt;HOME!$A$9,"",IF(B21&gt;Liquefaction!$D$37+HOME!$A$9,"",H21/(1+Liquefaction!$D$38)^C21)))</f>
        <v>2.2887709542867363</v>
      </c>
      <c r="K21" s="768">
        <f>IF(B21=HOME!$A$9,0,IF(B21&lt;HOME!$A$9,"",IF(B21&gt;Liquefaction!$D$37+HOME!$A$9,"",Liquefaction!$D$47)))</f>
        <v>5888.5749999999998</v>
      </c>
      <c r="L21" s="805">
        <f>IF(B21=HOME!$A$9,K21/(1+Liquefaction!$D$38)^C21,IF(B21&lt;HOME!$A$9,"",IF(B21&gt;Liquefaction!$D$37+HOME!$A$9,"",K21/(1+Liquefaction!$D$38)^C21)))</f>
        <v>2149.06377476028</v>
      </c>
      <c r="N21" s="88"/>
    </row>
    <row r="22" spans="2:14">
      <c r="B22" s="764">
        <v>2040</v>
      </c>
      <c r="C22" s="765">
        <f>IF(B22=HOME!$A$9,B22-HOME!$A$9,IF(B22&lt;HOME!$A$9,"",IF(B22&gt;HOME!$A$9+Liquefaction!$D$37,"",B22-HOME!$A$9)))</f>
        <v>18</v>
      </c>
      <c r="D22" s="766" cm="1">
        <f t="array" ref="D22">IF(B22=HOME!$A$9,0,IF(B22&lt;HOME!$A$9,"",IF(B22&gt;Liquefaction!$D$37+HOME!$A$9,"",IF(HOME!$B$64="Electrolysis",IF(HOME!$B$65="Grid",INDEX(Tb_Fuel[],MATCH(B22,Tb_Fuel[Year],0),HLOOKUP(Liquefaction!$E$13&amp;" - Grid",'Fuel Data'!$BB$2:$BX$3,2,FALSE)+1),INDEX(Tb_LCOE[],MATCH(HOME!$A$9,Tb_LCOE[Year],0),HLOOKUP("LCOE"&amp;HOME!$B$65,LCOE!$B$3:$G$4,2,FALSE)+1)/1000),INDEX(Tb_Fuel[],MATCH(B22,Tb_Fuel[Year],0),HLOOKUP(Liquefaction!$E$13&amp;" - Gas",'Fuel Data'!$BB$2:$BX$3,2,FALSE)+1)/0.3))))</f>
        <v>4.657300035949978E-2</v>
      </c>
      <c r="E22" s="766">
        <f>IF(B22=HOME!$A$9,Liquefaction!$D$42,IF(B22&lt;HOME!$A$9,"",IF(B22&gt;Liquefaction!$D$37+HOME!$A$9,"",0)))</f>
        <v>0</v>
      </c>
      <c r="F22" s="766">
        <f>IF(B22=HOME!$A$9,0,IF(B22&lt;HOME!$A$9,"",IF(B22&gt;Liquefaction!$D$37+HOME!$A$9,"",Liquefaction!$D$36*Liquefaction!$D$42)))</f>
        <v>3.6834682914271548</v>
      </c>
      <c r="G22" s="766">
        <f>IF(B22=HOME!$A$9,0,IF(B22&lt;HOME!$A$9,"",IF(B22&gt;Liquefaction!$D$37+HOME!$A$9,"",D22/10^6*Liquefaction!$D$46*1000)))</f>
        <v>2.5879134983675165</v>
      </c>
      <c r="H22" s="767">
        <f>IF(B22=HOME!$A$9,SUM(E22:G22),IF(B22&lt;HOME!$A$9,"",IF(B22&gt;Liquefaction!$D$37+HOME!$A$9,"",SUM(E22:G22))))</f>
        <v>6.2713817897946713</v>
      </c>
      <c r="I22" s="767">
        <f>IF(B22=HOME!$A$9,G22/(1+Liquefaction!$D$38)^C22,IF(B22&lt;HOME!$A$9,"",IF(B22&gt;Liquefaction!$D$37+HOME!$A$9,"",G22/(1+Liquefaction!$D$38)^C22)))</f>
        <v>0.89009878259725472</v>
      </c>
      <c r="J22" s="767">
        <f>IF(B22=HOME!$A$9,H22/(1+Liquefaction!$D$38)^C22,IF(B22&lt;HOME!$A$9,"",IF(B22&gt;Liquefaction!$D$37+HOME!$A$9,"",H22/(1+Liquefaction!$D$38)^C22)))</f>
        <v>2.1570076819878676</v>
      </c>
      <c r="K22" s="768">
        <f>IF(B22=HOME!$A$9,0,IF(B22&lt;HOME!$A$9,"",IF(B22&gt;Liquefaction!$D$37+HOME!$A$9,"",Liquefaction!$D$47)))</f>
        <v>5888.5749999999998</v>
      </c>
      <c r="L22" s="805">
        <f>IF(B22=HOME!$A$9,K22/(1+Liquefaction!$D$38)^C22,IF(B22&lt;HOME!$A$9,"",IF(B22&gt;Liquefaction!$D$37+HOME!$A$9,"",K22/(1+Liquefaction!$D$38)^C22)))</f>
        <v>2025.3433671716498</v>
      </c>
      <c r="N22" s="88"/>
    </row>
    <row r="23" spans="2:14">
      <c r="B23" s="764">
        <v>2041</v>
      </c>
      <c r="C23" s="765">
        <f>IF(B23=HOME!$A$9,B23-HOME!$A$9,IF(B23&lt;HOME!$A$9,"",IF(B23&gt;HOME!$A$9+Liquefaction!$D$37,"",B23-HOME!$A$9)))</f>
        <v>19</v>
      </c>
      <c r="D23" s="766" cm="1">
        <f t="array" ref="D23">IF(B23=HOME!$A$9,0,IF(B23&lt;HOME!$A$9,"",IF(B23&gt;Liquefaction!$D$37+HOME!$A$9,"",IF(HOME!$B$64="Electrolysis",IF(HOME!$B$65="Grid",INDEX(Tb_Fuel[],MATCH(B23,Tb_Fuel[Year],0),HLOOKUP(Liquefaction!$E$13&amp;" - Grid",'Fuel Data'!$BB$2:$BX$3,2,FALSE)+1),INDEX(Tb_LCOE[],MATCH(HOME!$A$9,Tb_LCOE[Year],0),HLOOKUP("LCOE"&amp;HOME!$B$65,LCOE!$B$3:$G$4,2,FALSE)+1)/1000),INDEX(Tb_Fuel[],MATCH(B23,Tb_Fuel[Year],0),HLOOKUP(Liquefaction!$E$13&amp;" - Gas",'Fuel Data'!$BB$2:$BX$3,2,FALSE)+1)/0.3))))</f>
        <v>4.657300035949978E-2</v>
      </c>
      <c r="E23" s="766">
        <f>IF(B23=HOME!$A$9,Liquefaction!$D$42,IF(B23&lt;HOME!$A$9,"",IF(B23&gt;Liquefaction!$D$37+HOME!$A$9,"",0)))</f>
        <v>0</v>
      </c>
      <c r="F23" s="766">
        <f>IF(B23=HOME!$A$9,0,IF(B23&lt;HOME!$A$9,"",IF(B23&gt;Liquefaction!$D$37+HOME!$A$9,"",Liquefaction!$D$36*Liquefaction!$D$42)))</f>
        <v>3.6834682914271548</v>
      </c>
      <c r="G23" s="766">
        <f>IF(B23=HOME!$A$9,0,IF(B23&lt;HOME!$A$9,"",IF(B23&gt;Liquefaction!$D$37+HOME!$A$9,"",D23/10^6*Liquefaction!$D$46*1000)))</f>
        <v>2.5879134983675165</v>
      </c>
      <c r="H23" s="767">
        <f>IF(B23=HOME!$A$9,SUM(E23:G23),IF(B23&lt;HOME!$A$9,"",IF(B23&gt;Liquefaction!$D$37+HOME!$A$9,"",SUM(E23:G23))))</f>
        <v>6.2713817897946713</v>
      </c>
      <c r="I23" s="767">
        <f>IF(B23=HOME!$A$9,G23/(1+Liquefaction!$D$38)^C23,IF(B23&lt;HOME!$A$9,"",IF(B23&gt;Liquefaction!$D$37+HOME!$A$9,"",G23/(1+Liquefaction!$D$38)^C23)))</f>
        <v>0.83885629018245444</v>
      </c>
      <c r="J23" s="767">
        <f>IF(B23=HOME!$A$9,H23/(1+Liquefaction!$D$38)^C23,IF(B23&lt;HOME!$A$9,"",IF(B23&gt;Liquefaction!$D$37+HOME!$A$9,"",H23/(1+Liquefaction!$D$38)^C23)))</f>
        <v>2.0328299480734269</v>
      </c>
      <c r="K23" s="768">
        <f>IF(B23=HOME!$A$9,0,IF(B23&lt;HOME!$A$9,"",IF(B23&gt;Liquefaction!$D$37+HOME!$A$9,"",Liquefaction!$D$47)))</f>
        <v>5888.5749999999998</v>
      </c>
      <c r="L23" s="805">
        <f>IF(B23=HOME!$A$9,K23/(1+Liquefaction!$D$38)^C23,IF(B23&lt;HOME!$A$9,"",IF(B23&gt;Liquefaction!$D$37+HOME!$A$9,"",K23/(1+Liquefaction!$D$38)^C23)))</f>
        <v>1908.7454747143372</v>
      </c>
      <c r="N23" s="88"/>
    </row>
    <row r="24" spans="2:14">
      <c r="B24" s="764">
        <v>2042</v>
      </c>
      <c r="C24" s="765">
        <f>IF(B24=HOME!$A$9,B24-HOME!$A$9,IF(B24&lt;HOME!$A$9,"",IF(B24&gt;HOME!$A$9+Liquefaction!$D$37,"",B24-HOME!$A$9)))</f>
        <v>20</v>
      </c>
      <c r="D24" s="766" cm="1">
        <f t="array" ref="D24">IF(B24=HOME!$A$9,0,IF(B24&lt;HOME!$A$9,"",IF(B24&gt;Liquefaction!$D$37+HOME!$A$9,"",IF(HOME!$B$64="Electrolysis",IF(HOME!$B$65="Grid",INDEX(Tb_Fuel[],MATCH(B24,Tb_Fuel[Year],0),HLOOKUP(Liquefaction!$E$13&amp;" - Grid",'Fuel Data'!$BB$2:$BX$3,2,FALSE)+1),INDEX(Tb_LCOE[],MATCH(HOME!$A$9,Tb_LCOE[Year],0),HLOOKUP("LCOE"&amp;HOME!$B$65,LCOE!$B$3:$G$4,2,FALSE)+1)/1000),INDEX(Tb_Fuel[],MATCH(B24,Tb_Fuel[Year],0),HLOOKUP(Liquefaction!$E$13&amp;" - Gas",'Fuel Data'!$BB$2:$BX$3,2,FALSE)+1)/0.3))))</f>
        <v>4.657300035949978E-2</v>
      </c>
      <c r="E24" s="766">
        <f>IF(B24=HOME!$A$9,Liquefaction!$D$42,IF(B24&lt;HOME!$A$9,"",IF(B24&gt;Liquefaction!$D$37+HOME!$A$9,"",0)))</f>
        <v>0</v>
      </c>
      <c r="F24" s="766">
        <f>IF(B24=HOME!$A$9,0,IF(B24&lt;HOME!$A$9,"",IF(B24&gt;Liquefaction!$D$37+HOME!$A$9,"",Liquefaction!$D$36*Liquefaction!$D$42)))</f>
        <v>3.6834682914271548</v>
      </c>
      <c r="G24" s="766">
        <f>IF(B24=HOME!$A$9,0,IF(B24&lt;HOME!$A$9,"",IF(B24&gt;Liquefaction!$D$37+HOME!$A$9,"",D24/10^6*Liquefaction!$D$46*1000)))</f>
        <v>2.5879134983675165</v>
      </c>
      <c r="H24" s="767">
        <f>IF(B24=HOME!$A$9,SUM(E24:G24),IF(B24&lt;HOME!$A$9,"",IF(B24&gt;Liquefaction!$D$37+HOME!$A$9,"",SUM(E24:G24))))</f>
        <v>6.2713817897946713</v>
      </c>
      <c r="I24" s="767">
        <f>IF(B24=HOME!$A$9,G24/(1+Liquefaction!$D$38)^C24,IF(B24&lt;HOME!$A$9,"",IF(B24&gt;Liquefaction!$D$37+HOME!$A$9,"",G24/(1+Liquefaction!$D$38)^C24)))</f>
        <v>0.79056379958792278</v>
      </c>
      <c r="J24" s="767">
        <f>IF(B24=HOME!$A$9,H24/(1+Liquefaction!$D$38)^C24,IF(B24&lt;HOME!$A$9,"",IF(B24&gt;Liquefaction!$D$37+HOME!$A$9,"",H24/(1+Liquefaction!$D$38)^C24)))</f>
        <v>1.9158010573128108</v>
      </c>
      <c r="K24" s="768">
        <f>IF(B24=HOME!$A$9,0,IF(B24&lt;HOME!$A$9,"",IF(B24&gt;Liquefaction!$D$37+HOME!$A$9,"",Liquefaction!$D$47)))</f>
        <v>5888.5749999999998</v>
      </c>
      <c r="L24" s="805">
        <f>IF(B24=HOME!$A$9,K24/(1+Liquefaction!$D$38)^C24,IF(B24&lt;HOME!$A$9,"",IF(B24&gt;Liquefaction!$D$37+HOME!$A$9,"",K24/(1+Liquefaction!$D$38)^C24)))</f>
        <v>1798.8600581491853</v>
      </c>
      <c r="N24" s="88"/>
    </row>
    <row r="25" spans="2:14">
      <c r="B25" s="764">
        <v>2043</v>
      </c>
      <c r="C25" s="765" t="str">
        <f>IF(B25=HOME!$A$9,B25-HOME!$A$9,IF(B25&lt;HOME!$A$9,"",IF(B25&gt;HOME!$A$9+Liquefaction!$D$37,"",B25-HOME!$A$9)))</f>
        <v/>
      </c>
      <c r="D25" s="766" t="str" cm="1">
        <f t="array" ref="D25">IF(B25=HOME!$A$9,0,IF(B25&lt;HOME!$A$9,"",IF(B25&gt;Liquefaction!$D$37+HOME!$A$9,"",IF(HOME!$B$64="Electrolysis",IF(HOME!$B$65="Grid",INDEX(Tb_Fuel[],MATCH(B25,Tb_Fuel[Year],0),HLOOKUP(Liquefaction!$E$13&amp;" - Grid",'Fuel Data'!$BB$2:$BX$3,2,FALSE)+1),INDEX(Tb_LCOE[],MATCH(HOME!$A$9,Tb_LCOE[Year],0),HLOOKUP("LCOE"&amp;HOME!$B$65,LCOE!$B$3:$G$4,2,FALSE)+1)/1000),INDEX(Tb_Fuel[],MATCH(B25,Tb_Fuel[Year],0),HLOOKUP(Liquefaction!$E$13&amp;" - Gas",'Fuel Data'!$BB$2:$BX$3,2,FALSE)+1)/0.3))))</f>
        <v/>
      </c>
      <c r="E25" s="766" t="str">
        <f>IF(B25=HOME!$A$9,Liquefaction!$D$42,IF(B25&lt;HOME!$A$9,"",IF(B25&gt;Liquefaction!$D$37+HOME!$A$9,"",0)))</f>
        <v/>
      </c>
      <c r="F25" s="766" t="str">
        <f>IF(B25=HOME!$A$9,0,IF(B25&lt;HOME!$A$9,"",IF(B25&gt;Liquefaction!$D$37+HOME!$A$9,"",Liquefaction!$D$36*Liquefaction!$D$42)))</f>
        <v/>
      </c>
      <c r="G25" s="766" t="str">
        <f>IF(B25=HOME!$A$9,0,IF(B25&lt;HOME!$A$9,"",IF(B25&gt;Liquefaction!$D$37+HOME!$A$9,"",D25/10^6*Liquefaction!$D$46*1000)))</f>
        <v/>
      </c>
      <c r="H25" s="767" t="str">
        <f>IF(B25=HOME!$A$9,SUM(E25:G25),IF(B25&lt;HOME!$A$9,"",IF(B25&gt;Liquefaction!$D$37+HOME!$A$9,"",SUM(E25:G25))))</f>
        <v/>
      </c>
      <c r="I25" s="767" t="str">
        <f>IF(B25=HOME!$A$9,G25/(1+Liquefaction!$D$38)^C25,IF(B25&lt;HOME!$A$9,"",IF(B25&gt;Liquefaction!$D$37+HOME!$A$9,"",G25/(1+Liquefaction!$D$38)^C25)))</f>
        <v/>
      </c>
      <c r="J25" s="767" t="str">
        <f>IF(B25=HOME!$A$9,H25/(1+Liquefaction!$D$38)^C25,IF(B25&lt;HOME!$A$9,"",IF(B25&gt;Liquefaction!$D$37+HOME!$A$9,"",H25/(1+Liquefaction!$D$38)^C25)))</f>
        <v/>
      </c>
      <c r="K25" s="768" t="str">
        <f>IF(B25=HOME!$A$9,0,IF(B25&lt;HOME!$A$9,"",IF(B25&gt;Liquefaction!$D$37+HOME!$A$9,"",Liquefaction!$D$47)))</f>
        <v/>
      </c>
      <c r="L25" s="805" t="str">
        <f>IF(B25=HOME!$A$9,K25/(1+Liquefaction!$D$38)^C25,IF(B25&lt;HOME!$A$9,"",IF(B25&gt;Liquefaction!$D$37+HOME!$A$9,"",K25/(1+Liquefaction!$D$38)^C25)))</f>
        <v/>
      </c>
    </row>
    <row r="26" spans="2:14">
      <c r="B26" s="764">
        <v>2044</v>
      </c>
      <c r="C26" s="765" t="str">
        <f>IF(B26=HOME!$A$9,B26-HOME!$A$9,IF(B26&lt;HOME!$A$9,"",IF(B26&gt;HOME!$A$9+Liquefaction!$D$37,"",B26-HOME!$A$9)))</f>
        <v/>
      </c>
      <c r="D26" s="766" t="str" cm="1">
        <f t="array" ref="D26">IF(B26=HOME!$A$9,0,IF(B26&lt;HOME!$A$9,"",IF(B26&gt;Liquefaction!$D$37+HOME!$A$9,"",IF(HOME!$B$64="Electrolysis",IF(HOME!$B$65="Grid",INDEX(Tb_Fuel[],MATCH(B26,Tb_Fuel[Year],0),HLOOKUP(Liquefaction!$E$13&amp;" - Grid",'Fuel Data'!$BB$2:$BX$3,2,FALSE)+1),INDEX(Tb_LCOE[],MATCH(HOME!$A$9,Tb_LCOE[Year],0),HLOOKUP("LCOE"&amp;HOME!$B$65,LCOE!$B$3:$G$4,2,FALSE)+1)/1000),INDEX(Tb_Fuel[],MATCH(B26,Tb_Fuel[Year],0),HLOOKUP(Liquefaction!$E$13&amp;" - Gas",'Fuel Data'!$BB$2:$BX$3,2,FALSE)+1)/0.3))))</f>
        <v/>
      </c>
      <c r="E26" s="766" t="str">
        <f>IF(B26=HOME!$A$9,Liquefaction!$D$42,IF(B26&lt;HOME!$A$9,"",IF(B26&gt;Liquefaction!$D$37+HOME!$A$9,"",0)))</f>
        <v/>
      </c>
      <c r="F26" s="766" t="str">
        <f>IF(B26=HOME!$A$9,0,IF(B26&lt;HOME!$A$9,"",IF(B26&gt;Liquefaction!$D$37+HOME!$A$9,"",Liquefaction!$D$36*Liquefaction!$D$42)))</f>
        <v/>
      </c>
      <c r="G26" s="766" t="str">
        <f>IF(B26=HOME!$A$9,0,IF(B26&lt;HOME!$A$9,"",IF(B26&gt;Liquefaction!$D$37+HOME!$A$9,"",D26/10^6*Liquefaction!$D$46*1000)))</f>
        <v/>
      </c>
      <c r="H26" s="767" t="str">
        <f>IF(B26=HOME!$A$9,SUM(E26:G26),IF(B26&lt;HOME!$A$9,"",IF(B26&gt;Liquefaction!$D$37+HOME!$A$9,"",SUM(E26:G26))))</f>
        <v/>
      </c>
      <c r="I26" s="767" t="str">
        <f>IF(B26=HOME!$A$9,G26/(1+Liquefaction!$D$38)^C26,IF(B26&lt;HOME!$A$9,"",IF(B26&gt;Liquefaction!$D$37+HOME!$A$9,"",G26/(1+Liquefaction!$D$38)^C26)))</f>
        <v/>
      </c>
      <c r="J26" s="767" t="str">
        <f>IF(B26=HOME!$A$9,H26/(1+Liquefaction!$D$38)^C26,IF(B26&lt;HOME!$A$9,"",IF(B26&gt;Liquefaction!$D$37+HOME!$A$9,"",H26/(1+Liquefaction!$D$38)^C26)))</f>
        <v/>
      </c>
      <c r="K26" s="768" t="str">
        <f>IF(B26=HOME!$A$9,0,IF(B26&lt;HOME!$A$9,"",IF(B26&gt;Liquefaction!$D$37+HOME!$A$9,"",Liquefaction!$D$47)))</f>
        <v/>
      </c>
      <c r="L26" s="805" t="str">
        <f>IF(B26=HOME!$A$9,K26/(1+Liquefaction!$D$38)^C26,IF(B26&lt;HOME!$A$9,"",IF(B26&gt;Liquefaction!$D$37+HOME!$A$9,"",K26/(1+Liquefaction!$D$38)^C26)))</f>
        <v/>
      </c>
    </row>
    <row r="27" spans="2:14">
      <c r="B27" s="764">
        <v>2045</v>
      </c>
      <c r="C27" s="765" t="str">
        <f>IF(B27=HOME!$A$9,B27-HOME!$A$9,IF(B27&lt;HOME!$A$9,"",IF(B27&gt;HOME!$A$9+Liquefaction!$D$37,"",B27-HOME!$A$9)))</f>
        <v/>
      </c>
      <c r="D27" s="766" t="str" cm="1">
        <f t="array" ref="D27">IF(B27=HOME!$A$9,0,IF(B27&lt;HOME!$A$9,"",IF(B27&gt;Liquefaction!$D$37+HOME!$A$9,"",IF(HOME!$B$64="Electrolysis",IF(HOME!$B$65="Grid",INDEX(Tb_Fuel[],MATCH(B27,Tb_Fuel[Year],0),HLOOKUP(Liquefaction!$E$13&amp;" - Grid",'Fuel Data'!$BB$2:$BX$3,2,FALSE)+1),INDEX(Tb_LCOE[],MATCH(HOME!$A$9,Tb_LCOE[Year],0),HLOOKUP("LCOE"&amp;HOME!$B$65,LCOE!$B$3:$G$4,2,FALSE)+1)/1000),INDEX(Tb_Fuel[],MATCH(B27,Tb_Fuel[Year],0),HLOOKUP(Liquefaction!$E$13&amp;" - Gas",'Fuel Data'!$BB$2:$BX$3,2,FALSE)+1)/0.3))))</f>
        <v/>
      </c>
      <c r="E27" s="766" t="str">
        <f>IF(B27=HOME!$A$9,Liquefaction!$D$42,IF(B27&lt;HOME!$A$9,"",IF(B27&gt;Liquefaction!$D$37+HOME!$A$9,"",0)))</f>
        <v/>
      </c>
      <c r="F27" s="766" t="str">
        <f>IF(B27=HOME!$A$9,0,IF(B27&lt;HOME!$A$9,"",IF(B27&gt;Liquefaction!$D$37+HOME!$A$9,"",Liquefaction!$D$36*Liquefaction!$D$42)))</f>
        <v/>
      </c>
      <c r="G27" s="766" t="str">
        <f>IF(B27=HOME!$A$9,0,IF(B27&lt;HOME!$A$9,"",IF(B27&gt;Liquefaction!$D$37+HOME!$A$9,"",D27/10^6*Liquefaction!$D$46*1000)))</f>
        <v/>
      </c>
      <c r="H27" s="767" t="str">
        <f>IF(B27=HOME!$A$9,SUM(E27:G27),IF(B27&lt;HOME!$A$9,"",IF(B27&gt;Liquefaction!$D$37+HOME!$A$9,"",SUM(E27:G27))))</f>
        <v/>
      </c>
      <c r="I27" s="767" t="str">
        <f>IF(B27=HOME!$A$9,G27/(1+Liquefaction!$D$38)^C27,IF(B27&lt;HOME!$A$9,"",IF(B27&gt;Liquefaction!$D$37+HOME!$A$9,"",G27/(1+Liquefaction!$D$38)^C27)))</f>
        <v/>
      </c>
      <c r="J27" s="767" t="str">
        <f>IF(B27=HOME!$A$9,H27/(1+Liquefaction!$D$38)^C27,IF(B27&lt;HOME!$A$9,"",IF(B27&gt;Liquefaction!$D$37+HOME!$A$9,"",H27/(1+Liquefaction!$D$38)^C27)))</f>
        <v/>
      </c>
      <c r="K27" s="768" t="str">
        <f>IF(B27=HOME!$A$9,0,IF(B27&lt;HOME!$A$9,"",IF(B27&gt;Liquefaction!$D$37+HOME!$A$9,"",Liquefaction!$D$47)))</f>
        <v/>
      </c>
      <c r="L27" s="805" t="str">
        <f>IF(B27=HOME!$A$9,K27/(1+Liquefaction!$D$38)^C27,IF(B27&lt;HOME!$A$9,"",IF(B27&gt;Liquefaction!$D$37+HOME!$A$9,"",K27/(1+Liquefaction!$D$38)^C27)))</f>
        <v/>
      </c>
    </row>
    <row r="28" spans="2:14">
      <c r="B28" s="764">
        <v>2046</v>
      </c>
      <c r="C28" s="765" t="str">
        <f>IF(B28=HOME!$A$9,B28-HOME!$A$9,IF(B28&lt;HOME!$A$9,"",IF(B28&gt;HOME!$A$9+Liquefaction!$D$37,"",B28-HOME!$A$9)))</f>
        <v/>
      </c>
      <c r="D28" s="766" t="str" cm="1">
        <f t="array" ref="D28">IF(B28=HOME!$A$9,0,IF(B28&lt;HOME!$A$9,"",IF(B28&gt;Liquefaction!$D$37+HOME!$A$9,"",IF(HOME!$B$64="Electrolysis",IF(HOME!$B$65="Grid",INDEX(Tb_Fuel[],MATCH(B28,Tb_Fuel[Year],0),HLOOKUP(Liquefaction!$E$13&amp;" - Grid",'Fuel Data'!$BB$2:$BX$3,2,FALSE)+1),INDEX(Tb_LCOE[],MATCH(HOME!$A$9,Tb_LCOE[Year],0),HLOOKUP("LCOE"&amp;HOME!$B$65,LCOE!$B$3:$G$4,2,FALSE)+1)/1000),INDEX(Tb_Fuel[],MATCH(B28,Tb_Fuel[Year],0),HLOOKUP(Liquefaction!$E$13&amp;" - Gas",'Fuel Data'!$BB$2:$BX$3,2,FALSE)+1)/0.3))))</f>
        <v/>
      </c>
      <c r="E28" s="766" t="str">
        <f>IF(B28=HOME!$A$9,Liquefaction!$D$42,IF(B28&lt;HOME!$A$9,"",IF(B28&gt;Liquefaction!$D$37+HOME!$A$9,"",0)))</f>
        <v/>
      </c>
      <c r="F28" s="766" t="str">
        <f>IF(B28=HOME!$A$9,0,IF(B28&lt;HOME!$A$9,"",IF(B28&gt;Liquefaction!$D$37+HOME!$A$9,"",Liquefaction!$D$36*Liquefaction!$D$42)))</f>
        <v/>
      </c>
      <c r="G28" s="766" t="str">
        <f>IF(B28=HOME!$A$9,0,IF(B28&lt;HOME!$A$9,"",IF(B28&gt;Liquefaction!$D$37+HOME!$A$9,"",D28/10^6*Liquefaction!$D$46*1000)))</f>
        <v/>
      </c>
      <c r="H28" s="767" t="str">
        <f>IF(B28=HOME!$A$9,SUM(E28:G28),IF(B28&lt;HOME!$A$9,"",IF(B28&gt;Liquefaction!$D$37+HOME!$A$9,"",SUM(E28:G28))))</f>
        <v/>
      </c>
      <c r="I28" s="767" t="str">
        <f>IF(B28=HOME!$A$9,G28/(1+Liquefaction!$D$38)^C28,IF(B28&lt;HOME!$A$9,"",IF(B28&gt;Liquefaction!$D$37+HOME!$A$9,"",G28/(1+Liquefaction!$D$38)^C28)))</f>
        <v/>
      </c>
      <c r="J28" s="767" t="str">
        <f>IF(B28=HOME!$A$9,H28/(1+Liquefaction!$D$38)^C28,IF(B28&lt;HOME!$A$9,"",IF(B28&gt;Liquefaction!$D$37+HOME!$A$9,"",H28/(1+Liquefaction!$D$38)^C28)))</f>
        <v/>
      </c>
      <c r="K28" s="768" t="str">
        <f>IF(B28=HOME!$A$9,0,IF(B28&lt;HOME!$A$9,"",IF(B28&gt;Liquefaction!$D$37+HOME!$A$9,"",Liquefaction!$D$47)))</f>
        <v/>
      </c>
      <c r="L28" s="805" t="str">
        <f>IF(B28=HOME!$A$9,K28/(1+Liquefaction!$D$38)^C28,IF(B28&lt;HOME!$A$9,"",IF(B28&gt;Liquefaction!$D$37+HOME!$A$9,"",K28/(1+Liquefaction!$D$38)^C28)))</f>
        <v/>
      </c>
    </row>
    <row r="29" spans="2:14">
      <c r="B29" s="764">
        <v>2047</v>
      </c>
      <c r="C29" s="765" t="str">
        <f>IF(B29=HOME!$A$9,B29-HOME!$A$9,IF(B29&lt;HOME!$A$9,"",IF(B29&gt;HOME!$A$9+Liquefaction!$D$37,"",B29-HOME!$A$9)))</f>
        <v/>
      </c>
      <c r="D29" s="766" t="str" cm="1">
        <f t="array" ref="D29">IF(B29=HOME!$A$9,0,IF(B29&lt;HOME!$A$9,"",IF(B29&gt;Liquefaction!$D$37+HOME!$A$9,"",IF(HOME!$B$64="Electrolysis",IF(HOME!$B$65="Grid",INDEX(Tb_Fuel[],MATCH(B29,Tb_Fuel[Year],0),HLOOKUP(Liquefaction!$E$13&amp;" - Grid",'Fuel Data'!$BB$2:$BX$3,2,FALSE)+1),INDEX(Tb_LCOE[],MATCH(HOME!$A$9,Tb_LCOE[Year],0),HLOOKUP("LCOE"&amp;HOME!$B$65,LCOE!$B$3:$G$4,2,FALSE)+1)/1000),INDEX(Tb_Fuel[],MATCH(B29,Tb_Fuel[Year],0),HLOOKUP(Liquefaction!$E$13&amp;" - Gas",'Fuel Data'!$BB$2:$BX$3,2,FALSE)+1)/0.3))))</f>
        <v/>
      </c>
      <c r="E29" s="766" t="str">
        <f>IF(B29=HOME!$A$9,Liquefaction!$D$42,IF(B29&lt;HOME!$A$9,"",IF(B29&gt;Liquefaction!$D$37+HOME!$A$9,"",0)))</f>
        <v/>
      </c>
      <c r="F29" s="766" t="str">
        <f>IF(B29=HOME!$A$9,0,IF(B29&lt;HOME!$A$9,"",IF(B29&gt;Liquefaction!$D$37+HOME!$A$9,"",Liquefaction!$D$36*Liquefaction!$D$42)))</f>
        <v/>
      </c>
      <c r="G29" s="766" t="str">
        <f>IF(B29=HOME!$A$9,0,IF(B29&lt;HOME!$A$9,"",IF(B29&gt;Liquefaction!$D$37+HOME!$A$9,"",D29/10^6*Liquefaction!$D$46*1000)))</f>
        <v/>
      </c>
      <c r="H29" s="767" t="str">
        <f>IF(B29=HOME!$A$9,SUM(E29:G29),IF(B29&lt;HOME!$A$9,"",IF(B29&gt;Liquefaction!$D$37+HOME!$A$9,"",SUM(E29:G29))))</f>
        <v/>
      </c>
      <c r="I29" s="767" t="str">
        <f>IF(B29=HOME!$A$9,G29/(1+Liquefaction!$D$38)^C29,IF(B29&lt;HOME!$A$9,"",IF(B29&gt;Liquefaction!$D$37+HOME!$A$9,"",G29/(1+Liquefaction!$D$38)^C29)))</f>
        <v/>
      </c>
      <c r="J29" s="767" t="str">
        <f>IF(B29=HOME!$A$9,H29/(1+Liquefaction!$D$38)^C29,IF(B29&lt;HOME!$A$9,"",IF(B29&gt;Liquefaction!$D$37+HOME!$A$9,"",H29/(1+Liquefaction!$D$38)^C29)))</f>
        <v/>
      </c>
      <c r="K29" s="768" t="str">
        <f>IF(B29=HOME!$A$9,0,IF(B29&lt;HOME!$A$9,"",IF(B29&gt;Liquefaction!$D$37+HOME!$A$9,"",Liquefaction!$D$47)))</f>
        <v/>
      </c>
      <c r="L29" s="805" t="str">
        <f>IF(B29=HOME!$A$9,K29/(1+Liquefaction!$D$38)^C29,IF(B29&lt;HOME!$A$9,"",IF(B29&gt;Liquefaction!$D$37+HOME!$A$9,"",K29/(1+Liquefaction!$D$38)^C29)))</f>
        <v/>
      </c>
    </row>
    <row r="30" spans="2:14">
      <c r="B30" s="764">
        <v>2048</v>
      </c>
      <c r="C30" s="765" t="str">
        <f>IF(B30=HOME!$A$9,B30-HOME!$A$9,IF(B30&lt;HOME!$A$9,"",IF(B30&gt;HOME!$A$9+Liquefaction!$D$37,"",B30-HOME!$A$9)))</f>
        <v/>
      </c>
      <c r="D30" s="766" t="str" cm="1">
        <f t="array" ref="D30">IF(B30=HOME!$A$9,0,IF(B30&lt;HOME!$A$9,"",IF(B30&gt;Liquefaction!$D$37+HOME!$A$9,"",IF(HOME!$B$64="Electrolysis",IF(HOME!$B$65="Grid",INDEX(Tb_Fuel[],MATCH(B30,Tb_Fuel[Year],0),HLOOKUP(Liquefaction!$E$13&amp;" - Grid",'Fuel Data'!$BB$2:$BX$3,2,FALSE)+1),INDEX(Tb_LCOE[],MATCH(HOME!$A$9,Tb_LCOE[Year],0),HLOOKUP("LCOE"&amp;HOME!$B$65,LCOE!$B$3:$G$4,2,FALSE)+1)/1000),INDEX(Tb_Fuel[],MATCH(B30,Tb_Fuel[Year],0),HLOOKUP(Liquefaction!$E$13&amp;" - Gas",'Fuel Data'!$BB$2:$BX$3,2,FALSE)+1)/0.3))))</f>
        <v/>
      </c>
      <c r="E30" s="766" t="str">
        <f>IF(B30=HOME!$A$9,Liquefaction!$D$42,IF(B30&lt;HOME!$A$9,"",IF(B30&gt;Liquefaction!$D$37+HOME!$A$9,"",0)))</f>
        <v/>
      </c>
      <c r="F30" s="766" t="str">
        <f>IF(B30=HOME!$A$9,0,IF(B30&lt;HOME!$A$9,"",IF(B30&gt;Liquefaction!$D$37+HOME!$A$9,"",Liquefaction!$D$36*Liquefaction!$D$42)))</f>
        <v/>
      </c>
      <c r="G30" s="766" t="str">
        <f>IF(B30=HOME!$A$9,0,IF(B30&lt;HOME!$A$9,"",IF(B30&gt;Liquefaction!$D$37+HOME!$A$9,"",D30/10^6*Liquefaction!$D$46*1000)))</f>
        <v/>
      </c>
      <c r="H30" s="767" t="str">
        <f>IF(B30=HOME!$A$9,SUM(E30:G30),IF(B30&lt;HOME!$A$9,"",IF(B30&gt;Liquefaction!$D$37+HOME!$A$9,"",SUM(E30:G30))))</f>
        <v/>
      </c>
      <c r="I30" s="767" t="str">
        <f>IF(B30=HOME!$A$9,G30/(1+Liquefaction!$D$38)^C30,IF(B30&lt;HOME!$A$9,"",IF(B30&gt;Liquefaction!$D$37+HOME!$A$9,"",G30/(1+Liquefaction!$D$38)^C30)))</f>
        <v/>
      </c>
      <c r="J30" s="767" t="str">
        <f>IF(B30=HOME!$A$9,H30/(1+Liquefaction!$D$38)^C30,IF(B30&lt;HOME!$A$9,"",IF(B30&gt;Liquefaction!$D$37+HOME!$A$9,"",H30/(1+Liquefaction!$D$38)^C30)))</f>
        <v/>
      </c>
      <c r="K30" s="768" t="str">
        <f>IF(B30=HOME!$A$9,0,IF(B30&lt;HOME!$A$9,"",IF(B30&gt;Liquefaction!$D$37+HOME!$A$9,"",Liquefaction!$D$47)))</f>
        <v/>
      </c>
      <c r="L30" s="805" t="str">
        <f>IF(B30=HOME!$A$9,K30/(1+Liquefaction!$D$38)^C30,IF(B30&lt;HOME!$A$9,"",IF(B30&gt;Liquefaction!$D$37+HOME!$A$9,"",K30/(1+Liquefaction!$D$38)^C30)))</f>
        <v/>
      </c>
    </row>
    <row r="31" spans="2:14">
      <c r="B31" s="764">
        <v>2049</v>
      </c>
      <c r="C31" s="765" t="str">
        <f>IF(B31=HOME!$A$9,B31-HOME!$A$9,IF(B31&lt;HOME!$A$9,"",IF(B31&gt;HOME!$A$9+Liquefaction!$D$37,"",B31-HOME!$A$9)))</f>
        <v/>
      </c>
      <c r="D31" s="766" t="str" cm="1">
        <f t="array" ref="D31">IF(B31=HOME!$A$9,0,IF(B31&lt;HOME!$A$9,"",IF(B31&gt;Liquefaction!$D$37+HOME!$A$9,"",IF(HOME!$B$64="Electrolysis",IF(HOME!$B$65="Grid",INDEX(Tb_Fuel[],MATCH(B31,Tb_Fuel[Year],0),HLOOKUP(Liquefaction!$E$13&amp;" - Grid",'Fuel Data'!$BB$2:$BX$3,2,FALSE)+1),INDEX(Tb_LCOE[],MATCH(HOME!$A$9,Tb_LCOE[Year],0),HLOOKUP("LCOE"&amp;HOME!$B$65,LCOE!$B$3:$G$4,2,FALSE)+1)/1000),INDEX(Tb_Fuel[],MATCH(B31,Tb_Fuel[Year],0),HLOOKUP(Liquefaction!$E$13&amp;" - Gas",'Fuel Data'!$BB$2:$BX$3,2,FALSE)+1)/0.3))))</f>
        <v/>
      </c>
      <c r="E31" s="766" t="str">
        <f>IF(B31=HOME!$A$9,Liquefaction!$D$42,IF(B31&lt;HOME!$A$9,"",IF(B31&gt;Liquefaction!$D$37+HOME!$A$9,"",0)))</f>
        <v/>
      </c>
      <c r="F31" s="766" t="str">
        <f>IF(B31=HOME!$A$9,0,IF(B31&lt;HOME!$A$9,"",IF(B31&gt;Liquefaction!$D$37+HOME!$A$9,"",Liquefaction!$D$36*Liquefaction!$D$42)))</f>
        <v/>
      </c>
      <c r="G31" s="766" t="str">
        <f>IF(B31=HOME!$A$9,0,IF(B31&lt;HOME!$A$9,"",IF(B31&gt;Liquefaction!$D$37+HOME!$A$9,"",D31/10^6*Liquefaction!$D$46*1000)))</f>
        <v/>
      </c>
      <c r="H31" s="767" t="str">
        <f>IF(B31=HOME!$A$9,SUM(E31:G31),IF(B31&lt;HOME!$A$9,"",IF(B31&gt;Liquefaction!$D$37+HOME!$A$9,"",SUM(E31:G31))))</f>
        <v/>
      </c>
      <c r="I31" s="767" t="str">
        <f>IF(B31=HOME!$A$9,G31/(1+Liquefaction!$D$38)^C31,IF(B31&lt;HOME!$A$9,"",IF(B31&gt;Liquefaction!$D$37+HOME!$A$9,"",G31/(1+Liquefaction!$D$38)^C31)))</f>
        <v/>
      </c>
      <c r="J31" s="767" t="str">
        <f>IF(B31=HOME!$A$9,H31/(1+Liquefaction!$D$38)^C31,IF(B31&lt;HOME!$A$9,"",IF(B31&gt;Liquefaction!$D$37+HOME!$A$9,"",H31/(1+Liquefaction!$D$38)^C31)))</f>
        <v/>
      </c>
      <c r="K31" s="768" t="str">
        <f>IF(B31=HOME!$A$9,0,IF(B31&lt;HOME!$A$9,"",IF(B31&gt;Liquefaction!$D$37+HOME!$A$9,"",Liquefaction!$D$47)))</f>
        <v/>
      </c>
      <c r="L31" s="805" t="str">
        <f>IF(B31=HOME!$A$9,K31/(1+Liquefaction!$D$38)^C31,IF(B31&lt;HOME!$A$9,"",IF(B31&gt;Liquefaction!$D$37+HOME!$A$9,"",K31/(1+Liquefaction!$D$38)^C31)))</f>
        <v/>
      </c>
    </row>
    <row r="32" spans="2:14">
      <c r="B32" s="764">
        <v>2050</v>
      </c>
      <c r="C32" s="765" t="str">
        <f>IF(B32=HOME!$A$9,B32-HOME!$A$9,IF(B32&lt;HOME!$A$9,"",IF(B32&gt;HOME!$A$9+Liquefaction!$D$37,"",B32-HOME!$A$9)))</f>
        <v/>
      </c>
      <c r="D32" s="766" t="str" cm="1">
        <f t="array" ref="D32">IF(B32=HOME!$A$9,0,IF(B32&lt;HOME!$A$9,"",IF(B32&gt;Liquefaction!$D$37+HOME!$A$9,"",IF(HOME!$B$64="Electrolysis",IF(HOME!$B$65="Grid",INDEX(Tb_Fuel[],MATCH(B32,Tb_Fuel[Year],0),HLOOKUP(Liquefaction!$E$13&amp;" - Grid",'Fuel Data'!$BB$2:$BX$3,2,FALSE)+1),INDEX(Tb_LCOE[],MATCH(HOME!$A$9,Tb_LCOE[Year],0),HLOOKUP("LCOE"&amp;HOME!$B$65,LCOE!$B$3:$G$4,2,FALSE)+1)/1000),INDEX(Tb_Fuel[],MATCH(B32,Tb_Fuel[Year],0),HLOOKUP(Liquefaction!$E$13&amp;" - Gas",'Fuel Data'!$BB$2:$BX$3,2,FALSE)+1)/0.3))))</f>
        <v/>
      </c>
      <c r="E32" s="766" t="str">
        <f>IF(B32=HOME!$A$9,Liquefaction!$D$42,IF(B32&lt;HOME!$A$9,"",IF(B32&gt;Liquefaction!$D$37+HOME!$A$9,"",0)))</f>
        <v/>
      </c>
      <c r="F32" s="766" t="str">
        <f>IF(B32=HOME!$A$9,0,IF(B32&lt;HOME!$A$9,"",IF(B32&gt;Liquefaction!$D$37+HOME!$A$9,"",Liquefaction!$D$36*Liquefaction!$D$42)))</f>
        <v/>
      </c>
      <c r="G32" s="766" t="str">
        <f>IF(B32=HOME!$A$9,0,IF(B32&lt;HOME!$A$9,"",IF(B32&gt;Liquefaction!$D$37+HOME!$A$9,"",D32/10^6*Liquefaction!$D$46*1000)))</f>
        <v/>
      </c>
      <c r="H32" s="767" t="str">
        <f>IF(B32=HOME!$A$9,SUM(E32:G32),IF(B32&lt;HOME!$A$9,"",IF(B32&gt;Liquefaction!$D$37+HOME!$A$9,"",SUM(E32:G32))))</f>
        <v/>
      </c>
      <c r="I32" s="767" t="str">
        <f>IF(B32=HOME!$A$9,G32/(1+Liquefaction!$D$38)^C32,IF(B32&lt;HOME!$A$9,"",IF(B32&gt;Liquefaction!$D$37+HOME!$A$9,"",G32/(1+Liquefaction!$D$38)^C32)))</f>
        <v/>
      </c>
      <c r="J32" s="767" t="str">
        <f>IF(B32=HOME!$A$9,H32/(1+Liquefaction!$D$38)^C32,IF(B32&lt;HOME!$A$9,"",IF(B32&gt;Liquefaction!$D$37+HOME!$A$9,"",H32/(1+Liquefaction!$D$38)^C32)))</f>
        <v/>
      </c>
      <c r="K32" s="768" t="str">
        <f>IF(B32=HOME!$A$9,0,IF(B32&lt;HOME!$A$9,"",IF(B32&gt;Liquefaction!$D$37+HOME!$A$9,"",Liquefaction!$D$47)))</f>
        <v/>
      </c>
      <c r="L32" s="805" t="str">
        <f>IF(B32=HOME!$A$9,K32/(1+Liquefaction!$D$38)^C32,IF(B32&lt;HOME!$A$9,"",IF(B32&gt;Liquefaction!$D$37+HOME!$A$9,"",K32/(1+Liquefaction!$D$38)^C32)))</f>
        <v/>
      </c>
    </row>
    <row r="33" spans="2:12">
      <c r="B33" s="764">
        <v>2051</v>
      </c>
      <c r="C33" s="765" t="str">
        <f>IF(B33=HOME!$A$9,B33-HOME!$A$9,IF(B33&lt;HOME!$A$9,"",IF(B33&gt;HOME!$A$9+Liquefaction!$D$37,"",B33-HOME!$A$9)))</f>
        <v/>
      </c>
      <c r="D33" s="766" t="str" cm="1">
        <f t="array" ref="D33">IF(B33=HOME!$A$9,0,IF(B33&lt;HOME!$A$9,"",IF(B33&gt;Liquefaction!$D$37+HOME!$A$9,"",IF(HOME!$B$64="Electrolysis",IF(HOME!$B$65="Grid",INDEX(Tb_Fuel[],MATCH(B33,Tb_Fuel[Year],0),HLOOKUP(Liquefaction!$E$13&amp;" - Grid",'Fuel Data'!$BB$2:$BX$3,2,FALSE)+1),INDEX(Tb_LCOE[],MATCH(HOME!$A$9,Tb_LCOE[Year],0),HLOOKUP("LCOE"&amp;HOME!$B$65,LCOE!$B$3:$G$4,2,FALSE)+1)/1000),INDEX(Tb_Fuel[],MATCH(B33,Tb_Fuel[Year],0),HLOOKUP(Liquefaction!$E$13&amp;" - Gas",'Fuel Data'!$BB$2:$BX$3,2,FALSE)+1)/0.3))))</f>
        <v/>
      </c>
      <c r="E33" s="766" t="str">
        <f>IF(B33=HOME!$A$9,Liquefaction!$D$42,IF(B33&lt;HOME!$A$9,"",IF(B33&gt;Liquefaction!$D$37+HOME!$A$9,"",0)))</f>
        <v/>
      </c>
      <c r="F33" s="766" t="str">
        <f>IF(B33=HOME!$A$9,0,IF(B33&lt;HOME!$A$9,"",IF(B33&gt;Liquefaction!$D$37+HOME!$A$9,"",Liquefaction!$D$36*Liquefaction!$D$42)))</f>
        <v/>
      </c>
      <c r="G33" s="766" t="str">
        <f>IF(B33=HOME!$A$9,0,IF(B33&lt;HOME!$A$9,"",IF(B33&gt;Liquefaction!$D$37+HOME!$A$9,"",D33/10^6*Liquefaction!$D$46*1000)))</f>
        <v/>
      </c>
      <c r="H33" s="767" t="str">
        <f>IF(B33=HOME!$A$9,SUM(E33:G33),IF(B33&lt;HOME!$A$9,"",IF(B33&gt;Liquefaction!$D$37+HOME!$A$9,"",SUM(E33:G33))))</f>
        <v/>
      </c>
      <c r="I33" s="767" t="str">
        <f>IF(B33=HOME!$A$9,G33/(1+Liquefaction!$D$38)^C33,IF(B33&lt;HOME!$A$9,"",IF(B33&gt;Liquefaction!$D$37+HOME!$A$9,"",G33/(1+Liquefaction!$D$38)^C33)))</f>
        <v/>
      </c>
      <c r="J33" s="767" t="str">
        <f>IF(B33=HOME!$A$9,H33/(1+Liquefaction!$D$38)^C33,IF(B33&lt;HOME!$A$9,"",IF(B33&gt;Liquefaction!$D$37+HOME!$A$9,"",H33/(1+Liquefaction!$D$38)^C33)))</f>
        <v/>
      </c>
      <c r="K33" s="768" t="str">
        <f>IF(B33=HOME!$A$9,0,IF(B33&lt;HOME!$A$9,"",IF(B33&gt;Liquefaction!$D$37+HOME!$A$9,"",Liquefaction!$D$47)))</f>
        <v/>
      </c>
      <c r="L33" s="805" t="str">
        <f>IF(B33=HOME!$A$9,K33/(1+Liquefaction!$D$38)^C33,IF(B33&lt;HOME!$A$9,"",IF(B33&gt;Liquefaction!$D$37+HOME!$A$9,"",K33/(1+Liquefaction!$D$38)^C33)))</f>
        <v/>
      </c>
    </row>
    <row r="34" spans="2:12">
      <c r="B34" s="764">
        <v>2052</v>
      </c>
      <c r="C34" s="765" t="str">
        <f>IF(B34=HOME!$A$9,B34-HOME!$A$9,IF(B34&lt;HOME!$A$9,"",IF(B34&gt;HOME!$A$9+Liquefaction!$D$37,"",B34-HOME!$A$9)))</f>
        <v/>
      </c>
      <c r="D34" s="766" t="str" cm="1">
        <f t="array" ref="D34">IF(B34=HOME!$A$9,0,IF(B34&lt;HOME!$A$9,"",IF(B34&gt;Liquefaction!$D$37+HOME!$A$9,"",IF(HOME!$B$64="Electrolysis",IF(HOME!$B$65="Grid",INDEX(Tb_Fuel[],MATCH(B34,Tb_Fuel[Year],0),HLOOKUP(Liquefaction!$E$13&amp;" - Grid",'Fuel Data'!$BB$2:$BX$3,2,FALSE)+1),INDEX(Tb_LCOE[],MATCH(HOME!$A$9,Tb_LCOE[Year],0),HLOOKUP("LCOE"&amp;HOME!$B$65,LCOE!$B$3:$G$4,2,FALSE)+1)/1000),INDEX(Tb_Fuel[],MATCH(B34,Tb_Fuel[Year],0),HLOOKUP(Liquefaction!$E$13&amp;" - Gas",'Fuel Data'!$BB$2:$BX$3,2,FALSE)+1)/0.3))))</f>
        <v/>
      </c>
      <c r="E34" s="766" t="str">
        <f>IF(B34=HOME!$A$9,Liquefaction!$D$42,IF(B34&lt;HOME!$A$9,"",IF(B34&gt;Liquefaction!$D$37+HOME!$A$9,"",0)))</f>
        <v/>
      </c>
      <c r="F34" s="766" t="str">
        <f>IF(B34=HOME!$A$9,0,IF(B34&lt;HOME!$A$9,"",IF(B34&gt;Liquefaction!$D$37+HOME!$A$9,"",Liquefaction!$D$36*Liquefaction!$D$42)))</f>
        <v/>
      </c>
      <c r="G34" s="766" t="str">
        <f>IF(B34=HOME!$A$9,0,IF(B34&lt;HOME!$A$9,"",IF(B34&gt;Liquefaction!$D$37+HOME!$A$9,"",D34/10^6*Liquefaction!$D$46*1000)))</f>
        <v/>
      </c>
      <c r="H34" s="767" t="str">
        <f>IF(B34=HOME!$A$9,SUM(E34:G34),IF(B34&lt;HOME!$A$9,"",IF(B34&gt;Liquefaction!$D$37+HOME!$A$9,"",SUM(E34:G34))))</f>
        <v/>
      </c>
      <c r="I34" s="767" t="str">
        <f>IF(B34=HOME!$A$9,G34/(1+Liquefaction!$D$38)^C34,IF(B34&lt;HOME!$A$9,"",IF(B34&gt;Liquefaction!$D$37+HOME!$A$9,"",G34/(1+Liquefaction!$D$38)^C34)))</f>
        <v/>
      </c>
      <c r="J34" s="767" t="str">
        <f>IF(B34=HOME!$A$9,H34/(1+Liquefaction!$D$38)^C34,IF(B34&lt;HOME!$A$9,"",IF(B34&gt;Liquefaction!$D$37+HOME!$A$9,"",H34/(1+Liquefaction!$D$38)^C34)))</f>
        <v/>
      </c>
      <c r="K34" s="768" t="str">
        <f>IF(B34=HOME!$A$9,0,IF(B34&lt;HOME!$A$9,"",IF(B34&gt;Liquefaction!$D$37+HOME!$A$9,"",Liquefaction!$D$47)))</f>
        <v/>
      </c>
      <c r="L34" s="805" t="str">
        <f>IF(B34=HOME!$A$9,K34/(1+Liquefaction!$D$38)^C34,IF(B34&lt;HOME!$A$9,"",IF(B34&gt;Liquefaction!$D$37+HOME!$A$9,"",K34/(1+Liquefaction!$D$38)^C34)))</f>
        <v/>
      </c>
    </row>
    <row r="35" spans="2:12">
      <c r="B35" s="764">
        <v>2053</v>
      </c>
      <c r="C35" s="765" t="str">
        <f>IF(B35=HOME!$A$9,B35-HOME!$A$9,IF(B35&lt;HOME!$A$9,"",IF(B35&gt;HOME!$A$9+Liquefaction!$D$37,"",B35-HOME!$A$9)))</f>
        <v/>
      </c>
      <c r="D35" s="766" t="str" cm="1">
        <f t="array" ref="D35">IF(B35=HOME!$A$9,0,IF(B35&lt;HOME!$A$9,"",IF(B35&gt;Liquefaction!$D$37+HOME!$A$9,"",IF(HOME!$B$64="Electrolysis",IF(HOME!$B$65="Grid",INDEX(Tb_Fuel[],MATCH(B35,Tb_Fuel[Year],0),HLOOKUP(Liquefaction!$E$13&amp;" - Grid",'Fuel Data'!$BB$2:$BX$3,2,FALSE)+1),INDEX(Tb_LCOE[],MATCH(HOME!$A$9,Tb_LCOE[Year],0),HLOOKUP("LCOE"&amp;HOME!$B$65,LCOE!$B$3:$G$4,2,FALSE)+1)/1000),INDEX(Tb_Fuel[],MATCH(B35,Tb_Fuel[Year],0),HLOOKUP(Liquefaction!$E$13&amp;" - Gas",'Fuel Data'!$BB$2:$BX$3,2,FALSE)+1)/0.3))))</f>
        <v/>
      </c>
      <c r="E35" s="766" t="str">
        <f>IF(B35=HOME!$A$9,Liquefaction!$D$42,IF(B35&lt;HOME!$A$9,"",IF(B35&gt;Liquefaction!$D$37+HOME!$A$9,"",0)))</f>
        <v/>
      </c>
      <c r="F35" s="766" t="str">
        <f>IF(B35=HOME!$A$9,0,IF(B35&lt;HOME!$A$9,"",IF(B35&gt;Liquefaction!$D$37+HOME!$A$9,"",Liquefaction!$D$36*Liquefaction!$D$42)))</f>
        <v/>
      </c>
      <c r="G35" s="766" t="str">
        <f>IF(B35=HOME!$A$9,0,IF(B35&lt;HOME!$A$9,"",IF(B35&gt;Liquefaction!$D$37+HOME!$A$9,"",D35/10^6*Liquefaction!$D$46*1000)))</f>
        <v/>
      </c>
      <c r="H35" s="767" t="str">
        <f>IF(B35=HOME!$A$9,SUM(E35:G35),IF(B35&lt;HOME!$A$9,"",IF(B35&gt;Liquefaction!$D$37+HOME!$A$9,"",SUM(E35:G35))))</f>
        <v/>
      </c>
      <c r="I35" s="767" t="str">
        <f>IF(B35=HOME!$A$9,G35/(1+Liquefaction!$D$38)^C35,IF(B35&lt;HOME!$A$9,"",IF(B35&gt;Liquefaction!$D$37+HOME!$A$9,"",G35/(1+Liquefaction!$D$38)^C35)))</f>
        <v/>
      </c>
      <c r="J35" s="767" t="str">
        <f>IF(B35=HOME!$A$9,H35/(1+Liquefaction!$D$38)^C35,IF(B35&lt;HOME!$A$9,"",IF(B35&gt;Liquefaction!$D$37+HOME!$A$9,"",H35/(1+Liquefaction!$D$38)^C35)))</f>
        <v/>
      </c>
      <c r="K35" s="768" t="str">
        <f>IF(B35=HOME!$A$9,0,IF(B35&lt;HOME!$A$9,"",IF(B35&gt;Liquefaction!$D$37+HOME!$A$9,"",Liquefaction!$D$47)))</f>
        <v/>
      </c>
      <c r="L35" s="805" t="str">
        <f>IF(B35=HOME!$A$9,K35/(1+Liquefaction!$D$38)^C35,IF(B35&lt;HOME!$A$9,"",IF(B35&gt;Liquefaction!$D$37+HOME!$A$9,"",K35/(1+Liquefaction!$D$38)^C35)))</f>
        <v/>
      </c>
    </row>
    <row r="36" spans="2:12">
      <c r="B36" s="764">
        <v>2054</v>
      </c>
      <c r="C36" s="765" t="str">
        <f>IF(B36=HOME!$A$9,B36-HOME!$A$9,IF(B36&lt;HOME!$A$9,"",IF(B36&gt;HOME!$A$9+Liquefaction!$D$37,"",B36-HOME!$A$9)))</f>
        <v/>
      </c>
      <c r="D36" s="766" t="str" cm="1">
        <f t="array" ref="D36">IF(B36=HOME!$A$9,0,IF(B36&lt;HOME!$A$9,"",IF(B36&gt;Liquefaction!$D$37+HOME!$A$9,"",IF(HOME!$B$64="Electrolysis",IF(HOME!$B$65="Grid",INDEX(Tb_Fuel[],MATCH(B36,Tb_Fuel[Year],0),HLOOKUP(Liquefaction!$E$13&amp;" - Grid",'Fuel Data'!$BB$2:$BX$3,2,FALSE)+1),INDEX(Tb_LCOE[],MATCH(HOME!$A$9,Tb_LCOE[Year],0),HLOOKUP("LCOE"&amp;HOME!$B$65,LCOE!$B$3:$G$4,2,FALSE)+1)/1000),INDEX(Tb_Fuel[],MATCH(B36,Tb_Fuel[Year],0),HLOOKUP(Liquefaction!$E$13&amp;" - Gas",'Fuel Data'!$BB$2:$BX$3,2,FALSE)+1)/0.3))))</f>
        <v/>
      </c>
      <c r="E36" s="766" t="str">
        <f>IF(B36=HOME!$A$9,Liquefaction!$D$42,IF(B36&lt;HOME!$A$9,"",IF(B36&gt;Liquefaction!$D$37+HOME!$A$9,"",0)))</f>
        <v/>
      </c>
      <c r="F36" s="766" t="str">
        <f>IF(B36=HOME!$A$9,0,IF(B36&lt;HOME!$A$9,"",IF(B36&gt;Liquefaction!$D$37+HOME!$A$9,"",Liquefaction!$D$36*Liquefaction!$D$42)))</f>
        <v/>
      </c>
      <c r="G36" s="766" t="str">
        <f>IF(B36=HOME!$A$9,0,IF(B36&lt;HOME!$A$9,"",IF(B36&gt;Liquefaction!$D$37+HOME!$A$9,"",D36/10^6*Liquefaction!$D$46*1000)))</f>
        <v/>
      </c>
      <c r="H36" s="767" t="str">
        <f>IF(B36=HOME!$A$9,SUM(E36:G36),IF(B36&lt;HOME!$A$9,"",IF(B36&gt;Liquefaction!$D$37+HOME!$A$9,"",SUM(E36:G36))))</f>
        <v/>
      </c>
      <c r="I36" s="767" t="str">
        <f>IF(B36=HOME!$A$9,G36/(1+Liquefaction!$D$38)^C36,IF(B36&lt;HOME!$A$9,"",IF(B36&gt;Liquefaction!$D$37+HOME!$A$9,"",G36/(1+Liquefaction!$D$38)^C36)))</f>
        <v/>
      </c>
      <c r="J36" s="767" t="str">
        <f>IF(B36=HOME!$A$9,H36/(1+Liquefaction!$D$38)^C36,IF(B36&lt;HOME!$A$9,"",IF(B36&gt;Liquefaction!$D$37+HOME!$A$9,"",H36/(1+Liquefaction!$D$38)^C36)))</f>
        <v/>
      </c>
      <c r="K36" s="768" t="str">
        <f>IF(B36=HOME!$A$9,0,IF(B36&lt;HOME!$A$9,"",IF(B36&gt;Liquefaction!$D$37+HOME!$A$9,"",Liquefaction!$D$47)))</f>
        <v/>
      </c>
      <c r="L36" s="805" t="str">
        <f>IF(B36=HOME!$A$9,K36/(1+Liquefaction!$D$38)^C36,IF(B36&lt;HOME!$A$9,"",IF(B36&gt;Liquefaction!$D$37+HOME!$A$9,"",K36/(1+Liquefaction!$D$38)^C36)))</f>
        <v/>
      </c>
    </row>
    <row r="37" spans="2:12">
      <c r="B37" s="764">
        <v>2055</v>
      </c>
      <c r="C37" s="765" t="str">
        <f>IF(B37=HOME!$A$9,B37-HOME!$A$9,IF(B37&lt;HOME!$A$9,"",IF(B37&gt;HOME!$A$9+Liquefaction!$D$37,"",B37-HOME!$A$9)))</f>
        <v/>
      </c>
      <c r="D37" s="766" t="str" cm="1">
        <f t="array" ref="D37">IF(B37=HOME!$A$9,0,IF(B37&lt;HOME!$A$9,"",IF(B37&gt;Liquefaction!$D$37+HOME!$A$9,"",IF(HOME!$B$64="Electrolysis",IF(HOME!$B$65="Grid",INDEX(Tb_Fuel[],MATCH(B37,Tb_Fuel[Year],0),HLOOKUP(Liquefaction!$E$13&amp;" - Grid",'Fuel Data'!$BB$2:$BX$3,2,FALSE)+1),INDEX(Tb_LCOE[],MATCH(HOME!$A$9,Tb_LCOE[Year],0),HLOOKUP("LCOE"&amp;HOME!$B$65,LCOE!$B$3:$G$4,2,FALSE)+1)/1000),INDEX(Tb_Fuel[],MATCH(B37,Tb_Fuel[Year],0),HLOOKUP(Liquefaction!$E$13&amp;" - Gas",'Fuel Data'!$BB$2:$BX$3,2,FALSE)+1)/0.3))))</f>
        <v/>
      </c>
      <c r="E37" s="766" t="str">
        <f>IF(B37=HOME!$A$9,Liquefaction!$D$42,IF(B37&lt;HOME!$A$9,"",IF(B37&gt;Liquefaction!$D$37+HOME!$A$9,"",0)))</f>
        <v/>
      </c>
      <c r="F37" s="766" t="str">
        <f>IF(B37=HOME!$A$9,0,IF(B37&lt;HOME!$A$9,"",IF(B37&gt;Liquefaction!$D$37+HOME!$A$9,"",Liquefaction!$D$36*Liquefaction!$D$42)))</f>
        <v/>
      </c>
      <c r="G37" s="766" t="str">
        <f>IF(B37=HOME!$A$9,0,IF(B37&lt;HOME!$A$9,"",IF(B37&gt;Liquefaction!$D$37+HOME!$A$9,"",D37/10^6*Liquefaction!$D$46*1000)))</f>
        <v/>
      </c>
      <c r="H37" s="767" t="str">
        <f>IF(B37=HOME!$A$9,SUM(E37:G37),IF(B37&lt;HOME!$A$9,"",IF(B37&gt;Liquefaction!$D$37+HOME!$A$9,"",SUM(E37:G37))))</f>
        <v/>
      </c>
      <c r="I37" s="767" t="str">
        <f>IF(B37=HOME!$A$9,G37/(1+Liquefaction!$D$38)^C37,IF(B37&lt;HOME!$A$9,"",IF(B37&gt;Liquefaction!$D$37+HOME!$A$9,"",G37/(1+Liquefaction!$D$38)^C37)))</f>
        <v/>
      </c>
      <c r="J37" s="767" t="str">
        <f>IF(B37=HOME!$A$9,H37/(1+Liquefaction!$D$38)^C37,IF(B37&lt;HOME!$A$9,"",IF(B37&gt;Liquefaction!$D$37+HOME!$A$9,"",H37/(1+Liquefaction!$D$38)^C37)))</f>
        <v/>
      </c>
      <c r="K37" s="768" t="str">
        <f>IF(B37=HOME!$A$9,0,IF(B37&lt;HOME!$A$9,"",IF(B37&gt;Liquefaction!$D$37+HOME!$A$9,"",Liquefaction!$D$47)))</f>
        <v/>
      </c>
      <c r="L37" s="805" t="str">
        <f>IF(B37=HOME!$A$9,K37/(1+Liquefaction!$D$38)^C37,IF(B37&lt;HOME!$A$9,"",IF(B37&gt;Liquefaction!$D$37+HOME!$A$9,"",K37/(1+Liquefaction!$D$38)^C37)))</f>
        <v/>
      </c>
    </row>
    <row r="38" spans="2:12">
      <c r="B38" s="764">
        <v>2056</v>
      </c>
      <c r="C38" s="765" t="str">
        <f>IF(B38=HOME!$A$9,B38-HOME!$A$9,IF(B38&lt;HOME!$A$9,"",IF(B38&gt;HOME!$A$9+Liquefaction!$D$37,"",B38-HOME!$A$9)))</f>
        <v/>
      </c>
      <c r="D38" s="766" t="str" cm="1">
        <f t="array" ref="D38">IF(B38=HOME!$A$9,0,IF(B38&lt;HOME!$A$9,"",IF(B38&gt;Liquefaction!$D$37+HOME!$A$9,"",IF(HOME!$B$64="Electrolysis",IF(HOME!$B$65="Grid",INDEX(Tb_Fuel[],MATCH(B38,Tb_Fuel[Year],0),HLOOKUP(Liquefaction!$E$13&amp;" - Grid",'Fuel Data'!$BB$2:$BX$3,2,FALSE)+1),INDEX(Tb_LCOE[],MATCH(HOME!$A$9,Tb_LCOE[Year],0),HLOOKUP("LCOE"&amp;HOME!$B$65,LCOE!$B$3:$G$4,2,FALSE)+1)/1000),INDEX(Tb_Fuel[],MATCH(B38,Tb_Fuel[Year],0),HLOOKUP(Liquefaction!$E$13&amp;" - Gas",'Fuel Data'!$BB$2:$BX$3,2,FALSE)+1)/0.3))))</f>
        <v/>
      </c>
      <c r="E38" s="766" t="str">
        <f>IF(B38=HOME!$A$9,Liquefaction!$D$42,IF(B38&lt;HOME!$A$9,"",IF(B38&gt;Liquefaction!$D$37+HOME!$A$9,"",0)))</f>
        <v/>
      </c>
      <c r="F38" s="766" t="str">
        <f>IF(B38=HOME!$A$9,0,IF(B38&lt;HOME!$A$9,"",IF(B38&gt;Liquefaction!$D$37+HOME!$A$9,"",Liquefaction!$D$36*Liquefaction!$D$42)))</f>
        <v/>
      </c>
      <c r="G38" s="766" t="str">
        <f>IF(B38=HOME!$A$9,0,IF(B38&lt;HOME!$A$9,"",IF(B38&gt;Liquefaction!$D$37+HOME!$A$9,"",D38/10^6*Liquefaction!$D$46*1000)))</f>
        <v/>
      </c>
      <c r="H38" s="767" t="str">
        <f>IF(B38=HOME!$A$9,SUM(E38:G38),IF(B38&lt;HOME!$A$9,"",IF(B38&gt;Liquefaction!$D$37+HOME!$A$9,"",SUM(E38:G38))))</f>
        <v/>
      </c>
      <c r="I38" s="767" t="str">
        <f>IF(B38=HOME!$A$9,G38/(1+Liquefaction!$D$38)^C38,IF(B38&lt;HOME!$A$9,"",IF(B38&gt;Liquefaction!$D$37+HOME!$A$9,"",G38/(1+Liquefaction!$D$38)^C38)))</f>
        <v/>
      </c>
      <c r="J38" s="767" t="str">
        <f>IF(B38=HOME!$A$9,H38/(1+Liquefaction!$D$38)^C38,IF(B38&lt;HOME!$A$9,"",IF(B38&gt;Liquefaction!$D$37+HOME!$A$9,"",H38/(1+Liquefaction!$D$38)^C38)))</f>
        <v/>
      </c>
      <c r="K38" s="768" t="str">
        <f>IF(B38=HOME!$A$9,0,IF(B38&lt;HOME!$A$9,"",IF(B38&gt;Liquefaction!$D$37+HOME!$A$9,"",Liquefaction!$D$47)))</f>
        <v/>
      </c>
      <c r="L38" s="805" t="str">
        <f>IF(B38=HOME!$A$9,K38/(1+Liquefaction!$D$38)^C38,IF(B38&lt;HOME!$A$9,"",IF(B38&gt;Liquefaction!$D$37+HOME!$A$9,"",K38/(1+Liquefaction!$D$38)^C38)))</f>
        <v/>
      </c>
    </row>
    <row r="39" spans="2:12">
      <c r="B39" s="764">
        <v>2057</v>
      </c>
      <c r="C39" s="765" t="str">
        <f>IF(B39=HOME!$A$9,B39-HOME!$A$9,IF(B39&lt;HOME!$A$9,"",IF(B39&gt;HOME!$A$9+Liquefaction!$D$37,"",B39-HOME!$A$9)))</f>
        <v/>
      </c>
      <c r="D39" s="766" t="str" cm="1">
        <f t="array" ref="D39">IF(B39=HOME!$A$9,0,IF(B39&lt;HOME!$A$9,"",IF(B39&gt;Liquefaction!$D$37+HOME!$A$9,"",IF(HOME!$B$64="Electrolysis",IF(HOME!$B$65="Grid",INDEX(Tb_Fuel[],MATCH(B39,Tb_Fuel[Year],0),HLOOKUP(Liquefaction!$E$13&amp;" - Grid",'Fuel Data'!$BB$2:$BX$3,2,FALSE)+1),INDEX(Tb_LCOE[],MATCH(HOME!$A$9,Tb_LCOE[Year],0),HLOOKUP("LCOE"&amp;HOME!$B$65,LCOE!$B$3:$G$4,2,FALSE)+1)/1000),INDEX(Tb_Fuel[],MATCH(B39,Tb_Fuel[Year],0),HLOOKUP(Liquefaction!$E$13&amp;" - Gas",'Fuel Data'!$BB$2:$BX$3,2,FALSE)+1)/0.3))))</f>
        <v/>
      </c>
      <c r="E39" s="766" t="str">
        <f>IF(B39=HOME!$A$9,Liquefaction!$D$42,IF(B39&lt;HOME!$A$9,"",IF(B39&gt;Liquefaction!$D$37+HOME!$A$9,"",0)))</f>
        <v/>
      </c>
      <c r="F39" s="766" t="str">
        <f>IF(B39=HOME!$A$9,0,IF(B39&lt;HOME!$A$9,"",IF(B39&gt;Liquefaction!$D$37+HOME!$A$9,"",Liquefaction!$D$36*Liquefaction!$D$42)))</f>
        <v/>
      </c>
      <c r="G39" s="766" t="str">
        <f>IF(B39=HOME!$A$9,0,IF(B39&lt;HOME!$A$9,"",IF(B39&gt;Liquefaction!$D$37+HOME!$A$9,"",D39/10^6*Liquefaction!$D$46*1000)))</f>
        <v/>
      </c>
      <c r="H39" s="767" t="str">
        <f>IF(B39=HOME!$A$9,SUM(E39:G39),IF(B39&lt;HOME!$A$9,"",IF(B39&gt;Liquefaction!$D$37+HOME!$A$9,"",SUM(E39:G39))))</f>
        <v/>
      </c>
      <c r="I39" s="767" t="str">
        <f>IF(B39=HOME!$A$9,G39/(1+Liquefaction!$D$38)^C39,IF(B39&lt;HOME!$A$9,"",IF(B39&gt;Liquefaction!$D$37+HOME!$A$9,"",G39/(1+Liquefaction!$D$38)^C39)))</f>
        <v/>
      </c>
      <c r="J39" s="767" t="str">
        <f>IF(B39=HOME!$A$9,H39/(1+Liquefaction!$D$38)^C39,IF(B39&lt;HOME!$A$9,"",IF(B39&gt;Liquefaction!$D$37+HOME!$A$9,"",H39/(1+Liquefaction!$D$38)^C39)))</f>
        <v/>
      </c>
      <c r="K39" s="768" t="str">
        <f>IF(B39=HOME!$A$9,0,IF(B39&lt;HOME!$A$9,"",IF(B39&gt;Liquefaction!$D$37+HOME!$A$9,"",Liquefaction!$D$47)))</f>
        <v/>
      </c>
      <c r="L39" s="805" t="str">
        <f>IF(B39=HOME!$A$9,K39/(1+Liquefaction!$D$38)^C39,IF(B39&lt;HOME!$A$9,"",IF(B39&gt;Liquefaction!$D$37+HOME!$A$9,"",K39/(1+Liquefaction!$D$38)^C39)))</f>
        <v/>
      </c>
    </row>
    <row r="40" spans="2:12">
      <c r="B40" s="764">
        <v>2058</v>
      </c>
      <c r="C40" s="765" t="str">
        <f>IF(B40=HOME!$A$9,B40-HOME!$A$9,IF(B40&lt;HOME!$A$9,"",IF(B40&gt;HOME!$A$9+Liquefaction!$D$37,"",B40-HOME!$A$9)))</f>
        <v/>
      </c>
      <c r="D40" s="766" t="str" cm="1">
        <f t="array" ref="D40">IF(B40=HOME!$A$9,0,IF(B40&lt;HOME!$A$9,"",IF(B40&gt;Liquefaction!$D$37+HOME!$A$9,"",IF(HOME!$B$64="Electrolysis",IF(HOME!$B$65="Grid",INDEX(Tb_Fuel[],MATCH(B40,Tb_Fuel[Year],0),HLOOKUP(Liquefaction!$E$13&amp;" - Grid",'Fuel Data'!$BB$2:$BX$3,2,FALSE)+1),INDEX(Tb_LCOE[],MATCH(HOME!$A$9,Tb_LCOE[Year],0),HLOOKUP("LCOE"&amp;HOME!$B$65,LCOE!$B$3:$G$4,2,FALSE)+1)/1000),INDEX(Tb_Fuel[],MATCH(B40,Tb_Fuel[Year],0),HLOOKUP(Liquefaction!$E$13&amp;" - Gas",'Fuel Data'!$BB$2:$BX$3,2,FALSE)+1)/0.3))))</f>
        <v/>
      </c>
      <c r="E40" s="766" t="str">
        <f>IF(B40=HOME!$A$9,Liquefaction!$D$42,IF(B40&lt;HOME!$A$9,"",IF(B40&gt;Liquefaction!$D$37+HOME!$A$9,"",0)))</f>
        <v/>
      </c>
      <c r="F40" s="766" t="str">
        <f>IF(B40=HOME!$A$9,0,IF(B40&lt;HOME!$A$9,"",IF(B40&gt;Liquefaction!$D$37+HOME!$A$9,"",Liquefaction!$D$36*Liquefaction!$D$42)))</f>
        <v/>
      </c>
      <c r="G40" s="766" t="str">
        <f>IF(B40=HOME!$A$9,0,IF(B40&lt;HOME!$A$9,"",IF(B40&gt;Liquefaction!$D$37+HOME!$A$9,"",D40/10^6*Liquefaction!$D$46*1000)))</f>
        <v/>
      </c>
      <c r="H40" s="767" t="str">
        <f>IF(B40=HOME!$A$9,SUM(E40:G40),IF(B40&lt;HOME!$A$9,"",IF(B40&gt;Liquefaction!$D$37+HOME!$A$9,"",SUM(E40:G40))))</f>
        <v/>
      </c>
      <c r="I40" s="767" t="str">
        <f>IF(B40=HOME!$A$9,G40/(1+Liquefaction!$D$38)^C40,IF(B40&lt;HOME!$A$9,"",IF(B40&gt;Liquefaction!$D$37+HOME!$A$9,"",G40/(1+Liquefaction!$D$38)^C40)))</f>
        <v/>
      </c>
      <c r="J40" s="767" t="str">
        <f>IF(B40=HOME!$A$9,H40/(1+Liquefaction!$D$38)^C40,IF(B40&lt;HOME!$A$9,"",IF(B40&gt;Liquefaction!$D$37+HOME!$A$9,"",H40/(1+Liquefaction!$D$38)^C40)))</f>
        <v/>
      </c>
      <c r="K40" s="768" t="str">
        <f>IF(B40=HOME!$A$9,0,IF(B40&lt;HOME!$A$9,"",IF(B40&gt;Liquefaction!$D$37+HOME!$A$9,"",Liquefaction!$D$47)))</f>
        <v/>
      </c>
      <c r="L40" s="805" t="str">
        <f>IF(B40=HOME!$A$9,K40/(1+Liquefaction!$D$38)^C40,IF(B40&lt;HOME!$A$9,"",IF(B40&gt;Liquefaction!$D$37+HOME!$A$9,"",K40/(1+Liquefaction!$D$38)^C40)))</f>
        <v/>
      </c>
    </row>
    <row r="41" spans="2:12">
      <c r="B41" s="764">
        <v>2059</v>
      </c>
      <c r="C41" s="765" t="str">
        <f>IF(B41=HOME!$A$9,B41-HOME!$A$9,IF(B41&lt;HOME!$A$9,"",IF(B41&gt;HOME!$A$9+Liquefaction!$D$37,"",B41-HOME!$A$9)))</f>
        <v/>
      </c>
      <c r="D41" s="766" t="str" cm="1">
        <f t="array" ref="D41">IF(B41=HOME!$A$9,0,IF(B41&lt;HOME!$A$9,"",IF(B41&gt;Liquefaction!$D$37+HOME!$A$9,"",IF(HOME!$B$64="Electrolysis",IF(HOME!$B$65="Grid",INDEX(Tb_Fuel[],MATCH(B41,Tb_Fuel[Year],0),HLOOKUP(Liquefaction!$E$13&amp;" - Grid",'Fuel Data'!$BB$2:$BX$3,2,FALSE)+1),INDEX(Tb_LCOE[],MATCH(HOME!$A$9,Tb_LCOE[Year],0),HLOOKUP("LCOE"&amp;HOME!$B$65,LCOE!$B$3:$G$4,2,FALSE)+1)/1000),INDEX(Tb_Fuel[],MATCH(B41,Tb_Fuel[Year],0),HLOOKUP(Liquefaction!$E$13&amp;" - Gas",'Fuel Data'!$BB$2:$BX$3,2,FALSE)+1)/0.3))))</f>
        <v/>
      </c>
      <c r="E41" s="766" t="str">
        <f>IF(B41=HOME!$A$9,Liquefaction!$D$42,IF(B41&lt;HOME!$A$9,"",IF(B41&gt;Liquefaction!$D$37+HOME!$A$9,"",0)))</f>
        <v/>
      </c>
      <c r="F41" s="766" t="str">
        <f>IF(B41=HOME!$A$9,0,IF(B41&lt;HOME!$A$9,"",IF(B41&gt;Liquefaction!$D$37+HOME!$A$9,"",Liquefaction!$D$36*Liquefaction!$D$42)))</f>
        <v/>
      </c>
      <c r="G41" s="766" t="str">
        <f>IF(B41=HOME!$A$9,0,IF(B41&lt;HOME!$A$9,"",IF(B41&gt;Liquefaction!$D$37+HOME!$A$9,"",D41/10^6*Liquefaction!$D$46*1000)))</f>
        <v/>
      </c>
      <c r="H41" s="767" t="str">
        <f>IF(B41=HOME!$A$9,SUM(E41:G41),IF(B41&lt;HOME!$A$9,"",IF(B41&gt;Liquefaction!$D$37+HOME!$A$9,"",SUM(E41:G41))))</f>
        <v/>
      </c>
      <c r="I41" s="767" t="str">
        <f>IF(B41=HOME!$A$9,G41/(1+Liquefaction!$D$38)^C41,IF(B41&lt;HOME!$A$9,"",IF(B41&gt;Liquefaction!$D$37+HOME!$A$9,"",G41/(1+Liquefaction!$D$38)^C41)))</f>
        <v/>
      </c>
      <c r="J41" s="767" t="str">
        <f>IF(B41=HOME!$A$9,H41/(1+Liquefaction!$D$38)^C41,IF(B41&lt;HOME!$A$9,"",IF(B41&gt;Liquefaction!$D$37+HOME!$A$9,"",H41/(1+Liquefaction!$D$38)^C41)))</f>
        <v/>
      </c>
      <c r="K41" s="768" t="str">
        <f>IF(B41=HOME!$A$9,0,IF(B41&lt;HOME!$A$9,"",IF(B41&gt;Liquefaction!$D$37+HOME!$A$9,"",Liquefaction!$D$47)))</f>
        <v/>
      </c>
      <c r="L41" s="805" t="str">
        <f>IF(B41=HOME!$A$9,K41/(1+Liquefaction!$D$38)^C41,IF(B41&lt;HOME!$A$9,"",IF(B41&gt;Liquefaction!$D$37+HOME!$A$9,"",K41/(1+Liquefaction!$D$38)^C41)))</f>
        <v/>
      </c>
    </row>
    <row r="42" spans="2:12" ht="17" thickBot="1">
      <c r="B42" s="770">
        <v>2060</v>
      </c>
      <c r="C42" s="771" t="str">
        <f>IF(B42=HOME!$A$9,B42-HOME!$A$9,IF(B42&lt;HOME!$A$9,"",IF(B42&gt;HOME!$A$9+Liquefaction!$D$37,"",B42-HOME!$A$9)))</f>
        <v/>
      </c>
      <c r="D42" s="772" t="str" cm="1">
        <f t="array" ref="D42">IF(B42=HOME!$A$9,0,IF(B42&lt;HOME!$A$9,"",IF(B42&gt;Liquefaction!$D$37+HOME!$A$9,"",IF(HOME!$B$64="Electrolysis",IF(HOME!$B$65="Grid",INDEX(Tb_Fuel[],MATCH(B42,Tb_Fuel[Year],0),HLOOKUP(Liquefaction!$E$13&amp;" - Grid",'Fuel Data'!$BB$2:$BX$3,2,FALSE)+1),INDEX(Tb_LCOE[],MATCH(HOME!$A$9,Tb_LCOE[Year],0),HLOOKUP("LCOE"&amp;HOME!$B$65,LCOE!$B$3:$G$4,2,FALSE)+1)/1000),INDEX(Tb_Fuel[],MATCH(B42,Tb_Fuel[Year],0),HLOOKUP(Liquefaction!$E$13&amp;" - Gas",'Fuel Data'!$BB$2:$BX$3,2,FALSE)+1)/0.3))))</f>
        <v/>
      </c>
      <c r="E42" s="772" t="str">
        <f>IF(B42=HOME!$A$9,Liquefaction!$D$42,IF(B42&lt;HOME!$A$9,"",IF(B42&gt;Liquefaction!$D$37+HOME!$A$9,"",0)))</f>
        <v/>
      </c>
      <c r="F42" s="772" t="str">
        <f>IF(B42=HOME!$A$9,0,IF(B42&lt;HOME!$A$9,"",IF(B42&gt;Liquefaction!$D$37+HOME!$A$9,"",Liquefaction!$D$36*Liquefaction!$D$42)))</f>
        <v/>
      </c>
      <c r="G42" s="772" t="str">
        <f>IF(B42=HOME!$A$9,0,IF(B42&lt;HOME!$A$9,"",IF(B42&gt;Liquefaction!$D$37+HOME!$A$9,"",D42/10^6*Liquefaction!$D$46*1000)))</f>
        <v/>
      </c>
      <c r="H42" s="773" t="str">
        <f>IF(B42=HOME!$A$9,SUM(E42:G42),IF(B42&lt;HOME!$A$9,"",IF(B42&gt;Liquefaction!$D$37+HOME!$A$9,"",SUM(E42:G42))))</f>
        <v/>
      </c>
      <c r="I42" s="773" t="str">
        <f>IF(B42=HOME!$A$9,G42/(1+Liquefaction!$D$38)^C42,IF(B42&lt;HOME!$A$9,"",IF(B42&gt;Liquefaction!$D$37+HOME!$A$9,"",G42/(1+Liquefaction!$D$38)^C42)))</f>
        <v/>
      </c>
      <c r="J42" s="773" t="str">
        <f>IF(B42=HOME!$A$9,H42/(1+Liquefaction!$D$38)^C42,IF(B42&lt;HOME!$A$9,"",IF(B42&gt;Liquefaction!$D$37+HOME!$A$9,"",H42/(1+Liquefaction!$D$38)^C42)))</f>
        <v/>
      </c>
      <c r="K42" s="774" t="str">
        <f>IF(B42=HOME!$A$9,0,IF(B42&lt;HOME!$A$9,"",IF(B42&gt;Liquefaction!$D$37+HOME!$A$9,"",Liquefaction!$D$47)))</f>
        <v/>
      </c>
      <c r="L42" s="807" t="str">
        <f>IF(B42=HOME!$A$9,K42/(1+Liquefaction!$D$38)^C42,IF(B42&lt;HOME!$A$9,"",IF(B42&gt;Liquefaction!$D$37+HOME!$A$9,"",K42/(1+Liquefaction!$D$38)^C42)))</f>
        <v/>
      </c>
    </row>
    <row r="43" spans="2:12" ht="17" thickTop="1"/>
  </sheetData>
  <sheetProtection algorithmName="SHA-512" hashValue="DVe6WhC2hFGzq58+2ctHkAXyNt5dB01n0BwqPJNykP+7TaWLtKtAMQ435Wxt6DwDh/qEFETH+29AwOJkf5J9Eg==" saltValue="N928l8/6pwP2CEvIWY6vfQ==" spinCount="100000" sheet="1" objects="1" scenarios="1"/>
  <hyperlinks>
    <hyperlink ref="A1" r:id="rId1" location="HOME!A1" display="applewebdata://31258B04-1677-4581-A769-CA032B874ED9/ - HOME!A1" xr:uid="{C7C3009B-BC87-469F-91F5-0038B2ECDD68}"/>
  </hyperlinks>
  <pageMargins left="0.7" right="0.7" top="0.75" bottom="0.75" header="0.3" footer="0.3"/>
  <pageSetup paperSize="9" orientation="portrait" verticalDpi="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67ACB-D743-5B46-9693-149CB8B0AD47}">
  <sheetPr>
    <tabColor theme="7" tint="0.39997558519241921"/>
  </sheetPr>
  <dimension ref="A1:BG37"/>
  <sheetViews>
    <sheetView zoomScale="50" zoomScaleNormal="50" workbookViewId="0">
      <selection activeCell="E17" sqref="E17"/>
    </sheetView>
  </sheetViews>
  <sheetFormatPr baseColWidth="10" defaultColWidth="10.83203125" defaultRowHeight="16"/>
  <cols>
    <col min="1" max="1" width="16.6640625" style="2" bestFit="1" customWidth="1"/>
    <col min="2" max="2" width="17.33203125" style="2" bestFit="1" customWidth="1"/>
    <col min="3" max="3" width="15" style="2" bestFit="1" customWidth="1"/>
    <col min="4" max="4" width="41" style="2" customWidth="1"/>
    <col min="5" max="6" width="36.83203125" style="2" customWidth="1"/>
    <col min="7" max="7" width="37" style="2" bestFit="1" customWidth="1"/>
    <col min="8" max="8" width="36.83203125" style="2" bestFit="1" customWidth="1"/>
    <col min="9" max="9" width="37" style="2" bestFit="1" customWidth="1"/>
    <col min="10" max="10" width="36.83203125" style="2" bestFit="1" customWidth="1"/>
    <col min="11" max="11" width="29" style="2" bestFit="1" customWidth="1"/>
    <col min="12" max="12" width="36.83203125" style="2" bestFit="1" customWidth="1"/>
    <col min="13" max="14" width="36.83203125" style="2" customWidth="1"/>
    <col min="15" max="15" width="16.33203125" style="2" bestFit="1" customWidth="1"/>
    <col min="16" max="16" width="42" style="2" customWidth="1"/>
    <col min="17" max="17" width="14.5" style="2" bestFit="1" customWidth="1"/>
    <col min="18" max="18" width="36.83203125" style="2" bestFit="1" customWidth="1"/>
    <col min="19" max="19" width="15" style="2" bestFit="1" customWidth="1"/>
    <col min="20" max="20" width="36.83203125" style="2" bestFit="1" customWidth="1"/>
    <col min="21" max="21" width="15.5" style="2" bestFit="1" customWidth="1"/>
    <col min="22" max="22" width="36.83203125" style="2" bestFit="1" customWidth="1"/>
    <col min="23" max="23" width="15.5" style="2" bestFit="1" customWidth="1"/>
    <col min="24" max="24" width="36.83203125" style="2" bestFit="1" customWidth="1"/>
    <col min="25" max="25" width="38.33203125" style="2" bestFit="1" customWidth="1"/>
    <col min="26" max="26" width="36.83203125" style="2" bestFit="1" customWidth="1"/>
    <col min="27" max="27" width="23.5" style="2" bestFit="1" customWidth="1"/>
    <col min="28" max="28" width="36.83203125" style="2" bestFit="1" customWidth="1"/>
    <col min="29" max="29" width="29.5" style="2" bestFit="1" customWidth="1"/>
    <col min="30" max="30" width="36.83203125" style="2" bestFit="1" customWidth="1"/>
    <col min="31" max="31" width="20.5" style="2" bestFit="1" customWidth="1"/>
    <col min="32" max="32" width="36.83203125" style="2" bestFit="1" customWidth="1"/>
    <col min="33" max="33" width="1" style="2" bestFit="1" customWidth="1"/>
    <col min="34" max="34" width="10.83203125" style="2"/>
    <col min="35" max="35" width="12.83203125" style="2" bestFit="1" customWidth="1"/>
    <col min="36" max="36" width="17.33203125" style="2" bestFit="1" customWidth="1"/>
    <col min="37" max="37" width="31" style="2" bestFit="1" customWidth="1"/>
    <col min="38" max="38" width="21.5" style="2" customWidth="1"/>
    <col min="39" max="39" width="42.5" style="2" bestFit="1" customWidth="1"/>
    <col min="40" max="40" width="20.33203125" style="2" customWidth="1"/>
    <col min="41" max="41" width="1" style="2" bestFit="1" customWidth="1"/>
    <col min="42" max="42" width="10.83203125" style="2"/>
    <col min="43" max="43" width="13.33203125" style="2" bestFit="1" customWidth="1"/>
    <col min="44" max="44" width="17.33203125" style="2" bestFit="1" customWidth="1"/>
    <col min="45" max="45" width="20.5" style="2" bestFit="1" customWidth="1"/>
    <col min="46" max="46" width="26.5" style="2" bestFit="1" customWidth="1"/>
    <col min="47" max="47" width="1" style="2" bestFit="1" customWidth="1"/>
    <col min="48" max="48" width="10.83203125" style="2"/>
    <col min="49" max="49" width="18.33203125" style="2" bestFit="1" customWidth="1"/>
    <col min="50" max="50" width="17.33203125" style="2" bestFit="1" customWidth="1"/>
    <col min="51" max="51" width="22.33203125" style="2" bestFit="1" customWidth="1"/>
    <col min="52" max="52" width="24" style="2" customWidth="1"/>
    <col min="53" max="53" width="1" style="2" bestFit="1" customWidth="1"/>
    <col min="54" max="54" width="10.83203125" style="2"/>
    <col min="55" max="55" width="18" style="2" bestFit="1" customWidth="1"/>
    <col min="56" max="56" width="17.33203125" style="2" bestFit="1" customWidth="1"/>
    <col min="57" max="57" width="24" style="2" bestFit="1" customWidth="1"/>
    <col min="58" max="58" width="20.5" style="2" customWidth="1"/>
    <col min="59" max="16384" width="10.83203125" style="2"/>
  </cols>
  <sheetData>
    <row r="1" spans="1:59">
      <c r="A1" s="277"/>
      <c r="B1" s="219"/>
      <c r="C1" s="1318" t="s">
        <v>378</v>
      </c>
      <c r="D1" s="1318"/>
      <c r="E1" s="1318"/>
      <c r="F1" s="1318"/>
      <c r="G1" s="1318"/>
      <c r="H1" s="1318"/>
      <c r="I1" s="1318"/>
      <c r="J1" s="1318"/>
      <c r="K1" s="1318"/>
      <c r="L1" s="1318"/>
      <c r="M1" s="200"/>
      <c r="N1" s="200"/>
      <c r="O1" s="1318" t="s">
        <v>379</v>
      </c>
      <c r="P1" s="1318"/>
      <c r="Q1" s="1318"/>
      <c r="R1" s="1318"/>
      <c r="S1" s="1318"/>
      <c r="T1" s="1318"/>
      <c r="U1" s="1318"/>
      <c r="V1" s="1318"/>
      <c r="W1" s="1318"/>
      <c r="X1" s="1318"/>
      <c r="Y1" s="1318"/>
      <c r="Z1" s="1318"/>
      <c r="AA1" s="1318"/>
      <c r="AB1" s="1318"/>
      <c r="AC1" s="1318"/>
      <c r="AD1" s="1318"/>
      <c r="AE1" s="1318"/>
      <c r="AF1" s="1318"/>
      <c r="AG1" s="271"/>
      <c r="AI1" s="540"/>
      <c r="AJ1" s="541"/>
      <c r="AK1" s="1204" t="s">
        <v>380</v>
      </c>
      <c r="AL1" s="1315"/>
      <c r="AM1" s="1315"/>
      <c r="AN1" s="1316"/>
      <c r="AO1" s="280"/>
      <c r="AP1" s="280"/>
      <c r="AQ1" s="540"/>
      <c r="AR1" s="541"/>
      <c r="AS1" s="1214" t="str">
        <f>Tb_Cpr2434[[#Headers],[Regasification Plant]]</f>
        <v>Regasification Plant</v>
      </c>
      <c r="AT1" s="1214"/>
      <c r="AU1" s="280"/>
      <c r="AV1" s="280"/>
      <c r="AW1" s="540"/>
      <c r="AX1" s="541"/>
      <c r="AY1" s="1214" t="str">
        <f>Tb_Cpr243439[[#Headers],[NH3 Conversion Plant]]</f>
        <v>NH3 Conversion Plant</v>
      </c>
      <c r="AZ1" s="1214"/>
      <c r="BA1" s="280"/>
      <c r="BB1" s="280"/>
      <c r="BC1" s="540"/>
      <c r="BD1" s="541"/>
      <c r="BE1" s="1317" t="str">
        <f>Tb_Cpr24343941[[#Headers],[NH3 Reconversion Plant]]</f>
        <v>NH3 Reconversion Plant</v>
      </c>
      <c r="BF1" s="1215"/>
    </row>
    <row r="2" spans="1:59">
      <c r="A2" s="271"/>
      <c r="C2" s="1126" t="str">
        <f>Tb_Cpr[[#Headers],[Pipeline inlet]]</f>
        <v>Pipeline inlet</v>
      </c>
      <c r="D2" s="1126"/>
      <c r="E2" s="1128" t="str">
        <f>Tb_Cpr[[#Headers],[Pipeline inlet - Distribution]]</f>
        <v>Pipeline inlet - Distribution</v>
      </c>
      <c r="F2" s="1129"/>
      <c r="G2" s="1126" t="str">
        <f>Tb_Cpr[[#Headers],[Pipeline booster - transmission offshore]]</f>
        <v>Pipeline booster - transmission offshore</v>
      </c>
      <c r="H2" s="1126"/>
      <c r="I2" s="1128" t="str">
        <f>Tb_Cpr[[#Headers],[Pipeline booster - transmission onshore]]</f>
        <v>Pipeline booster - transmission onshore</v>
      </c>
      <c r="J2" s="1129"/>
      <c r="K2" s="1128" t="str">
        <f>Tb_Cpr[[#Headers],[Pipeline booster - distribution]]</f>
        <v>Pipeline booster - distribution</v>
      </c>
      <c r="L2" s="1129"/>
      <c r="M2" s="1128" t="str">
        <f>Tb_Cpr[[#Headers],[Final compression]]</f>
        <v>Final compression</v>
      </c>
      <c r="N2" s="1129"/>
      <c r="O2" s="1126" t="str">
        <f>Tb_Cpr[[#Headers],[Truck - 250 bar]]</f>
        <v>Truck - 250 bar</v>
      </c>
      <c r="P2" s="1126"/>
      <c r="Q2" s="1126" t="str">
        <f>Tb_Cpr[[#Headers],[Tank - Type I]]</f>
        <v>Tank - Type I</v>
      </c>
      <c r="R2" s="1126"/>
      <c r="S2" s="1126" t="str">
        <f>Tb_Cpr[[#Headers],[Tank - Type II]]</f>
        <v>Tank - Type II</v>
      </c>
      <c r="T2" s="1126"/>
      <c r="U2" s="1126" t="str">
        <f>Tb_Cpr[[#Headers],[Tank - Type III]]</f>
        <v>Tank - Type III</v>
      </c>
      <c r="V2" s="1126"/>
      <c r="W2" s="1126" t="str">
        <f>Tb_Cpr[[#Headers],[Tank - Type IV]]</f>
        <v>Tank - Type IV</v>
      </c>
      <c r="X2" s="1126"/>
      <c r="Y2" s="1126" t="str">
        <f>Tb_Cpr[[#Headers],[Geological - Depleted NG or Oil Reservoir]]</f>
        <v>Geological - Depleted NG or Oil Reservoir</v>
      </c>
      <c r="Z2" s="1126"/>
      <c r="AA2" s="1126" t="str">
        <f>Tb_Cpr[[#Headers],[Geological - Salt Cavern]]</f>
        <v>Geological - Salt Cavern</v>
      </c>
      <c r="AB2" s="1126"/>
      <c r="AC2" s="1126" t="str">
        <f>Tb_Cpr[[#Headers],[Geological - Lined Rock Cavern]]</f>
        <v>Geological - Lined Rock Cavern</v>
      </c>
      <c r="AD2" s="1126"/>
      <c r="AE2" s="1126" t="str">
        <f>Tb_Cpr[[#Headers],[Geological - Aquifer]]</f>
        <v>Geological - Aquifer</v>
      </c>
      <c r="AF2" s="1126"/>
      <c r="AG2" s="271"/>
      <c r="AI2" s="527"/>
      <c r="AJ2" s="364"/>
      <c r="AK2" s="1214" t="str">
        <f>Tb_Cpr24[[#Headers],[Conventional Liquefaction Plant]]</f>
        <v>Conventional Liquefaction Plant</v>
      </c>
      <c r="AL2" s="1214"/>
      <c r="AM2" s="1214" t="str">
        <f>Tb_Cpr24[[#Headers],[Proposed Liquefaction Plant (LNG pre-cooling)]]</f>
        <v>Proposed Liquefaction Plant (LNG pre-cooling)</v>
      </c>
      <c r="AN2" s="1214"/>
      <c r="AO2" s="280"/>
      <c r="AP2" s="280"/>
      <c r="AQ2" s="527"/>
      <c r="AR2" s="364"/>
      <c r="AS2" s="547">
        <v>1</v>
      </c>
      <c r="AT2" s="547">
        <v>2</v>
      </c>
      <c r="AU2" s="280"/>
      <c r="AV2" s="280"/>
      <c r="AW2" s="527"/>
      <c r="AX2" s="364"/>
      <c r="AY2" s="547">
        <v>1</v>
      </c>
      <c r="AZ2" s="547">
        <v>2</v>
      </c>
      <c r="BA2" s="280"/>
      <c r="BB2" s="280"/>
      <c r="BC2" s="527"/>
      <c r="BD2" s="364"/>
      <c r="BE2" s="547">
        <v>1</v>
      </c>
      <c r="BF2" s="547">
        <v>2</v>
      </c>
    </row>
    <row r="3" spans="1:59">
      <c r="A3" s="271"/>
      <c r="C3" s="34">
        <v>1</v>
      </c>
      <c r="D3" s="34">
        <v>2</v>
      </c>
      <c r="E3" s="34">
        <v>3</v>
      </c>
      <c r="F3" s="34">
        <v>4</v>
      </c>
      <c r="G3" s="34">
        <v>5</v>
      </c>
      <c r="H3" s="34">
        <v>6</v>
      </c>
      <c r="I3" s="34">
        <v>7</v>
      </c>
      <c r="J3" s="34">
        <v>8</v>
      </c>
      <c r="K3" s="34">
        <v>9</v>
      </c>
      <c r="L3" s="34">
        <v>10</v>
      </c>
      <c r="M3" s="34">
        <v>11</v>
      </c>
      <c r="N3" s="34">
        <v>12</v>
      </c>
      <c r="O3" s="34">
        <v>13</v>
      </c>
      <c r="P3" s="34">
        <v>14</v>
      </c>
      <c r="Q3" s="34">
        <v>15</v>
      </c>
      <c r="R3" s="34">
        <v>16</v>
      </c>
      <c r="S3" s="34">
        <v>17</v>
      </c>
      <c r="T3" s="34">
        <v>18</v>
      </c>
      <c r="U3" s="34">
        <v>19</v>
      </c>
      <c r="V3" s="34">
        <v>20</v>
      </c>
      <c r="W3" s="34">
        <v>21</v>
      </c>
      <c r="X3" s="34">
        <v>22</v>
      </c>
      <c r="Y3" s="34">
        <v>23</v>
      </c>
      <c r="Z3" s="34">
        <v>24</v>
      </c>
      <c r="AA3" s="34">
        <v>25</v>
      </c>
      <c r="AB3" s="34">
        <v>26</v>
      </c>
      <c r="AC3" s="34">
        <v>27</v>
      </c>
      <c r="AD3" s="34">
        <v>28</v>
      </c>
      <c r="AE3" s="34">
        <v>29</v>
      </c>
      <c r="AF3" s="34">
        <v>30</v>
      </c>
      <c r="AG3" s="271"/>
      <c r="AI3" s="527"/>
      <c r="AJ3" s="364"/>
      <c r="AK3" s="547">
        <v>1</v>
      </c>
      <c r="AL3" s="547">
        <v>2</v>
      </c>
      <c r="AM3" s="547">
        <v>3</v>
      </c>
      <c r="AN3" s="547">
        <v>4</v>
      </c>
      <c r="AO3" s="280"/>
      <c r="AP3" s="280"/>
      <c r="AQ3" s="540" t="s">
        <v>154</v>
      </c>
      <c r="AR3" s="541" t="s">
        <v>155</v>
      </c>
      <c r="AS3" s="541" t="s">
        <v>381</v>
      </c>
      <c r="AT3" s="558" t="s">
        <v>156</v>
      </c>
      <c r="AU3" s="280"/>
      <c r="AV3" s="280"/>
      <c r="AW3" s="540" t="s">
        <v>154</v>
      </c>
      <c r="AX3" s="541" t="s">
        <v>155</v>
      </c>
      <c r="AY3" s="541" t="s">
        <v>382</v>
      </c>
      <c r="AZ3" s="558" t="s">
        <v>156</v>
      </c>
      <c r="BA3" s="280"/>
      <c r="BB3" s="280"/>
      <c r="BC3" s="540" t="s">
        <v>154</v>
      </c>
      <c r="BD3" s="541" t="s">
        <v>155</v>
      </c>
      <c r="BE3" s="541" t="s">
        <v>383</v>
      </c>
      <c r="BF3" s="558" t="s">
        <v>156</v>
      </c>
    </row>
    <row r="4" spans="1:59" ht="18">
      <c r="A4" s="50" t="s">
        <v>154</v>
      </c>
      <c r="B4" s="33" t="s">
        <v>155</v>
      </c>
      <c r="C4" s="33" t="s">
        <v>384</v>
      </c>
      <c r="D4" s="46" t="s">
        <v>156</v>
      </c>
      <c r="E4" s="46" t="s">
        <v>385</v>
      </c>
      <c r="F4" s="46" t="s">
        <v>386</v>
      </c>
      <c r="G4" s="46" t="s">
        <v>387</v>
      </c>
      <c r="H4" s="46" t="s">
        <v>158</v>
      </c>
      <c r="I4" s="46" t="s">
        <v>388</v>
      </c>
      <c r="J4" s="46" t="s">
        <v>389</v>
      </c>
      <c r="K4" s="46" t="s">
        <v>390</v>
      </c>
      <c r="L4" s="46" t="s">
        <v>164</v>
      </c>
      <c r="M4" s="46" t="s">
        <v>391</v>
      </c>
      <c r="N4" s="46" t="s">
        <v>166</v>
      </c>
      <c r="O4" s="46" t="s">
        <v>392</v>
      </c>
      <c r="P4" s="46" t="s">
        <v>393</v>
      </c>
      <c r="Q4" s="46" t="s">
        <v>40</v>
      </c>
      <c r="R4" s="46" t="s">
        <v>394</v>
      </c>
      <c r="S4" s="46" t="s">
        <v>120</v>
      </c>
      <c r="T4" s="46" t="s">
        <v>395</v>
      </c>
      <c r="U4" s="46" t="s">
        <v>121</v>
      </c>
      <c r="V4" s="46" t="s">
        <v>396</v>
      </c>
      <c r="W4" s="46" t="s">
        <v>122</v>
      </c>
      <c r="X4" s="46" t="s">
        <v>397</v>
      </c>
      <c r="Y4" s="46" t="s">
        <v>149</v>
      </c>
      <c r="Z4" s="46" t="s">
        <v>398</v>
      </c>
      <c r="AA4" s="46" t="s">
        <v>150</v>
      </c>
      <c r="AB4" s="46" t="s">
        <v>399</v>
      </c>
      <c r="AC4" s="46" t="s">
        <v>151</v>
      </c>
      <c r="AD4" s="46" t="s">
        <v>400</v>
      </c>
      <c r="AE4" s="46" t="s">
        <v>128</v>
      </c>
      <c r="AF4" s="47" t="s">
        <v>401</v>
      </c>
      <c r="AG4" s="271" t="s">
        <v>280</v>
      </c>
      <c r="AI4" s="540" t="s">
        <v>154</v>
      </c>
      <c r="AJ4" s="541" t="s">
        <v>155</v>
      </c>
      <c r="AK4" s="541" t="s">
        <v>402</v>
      </c>
      <c r="AL4" s="609" t="s">
        <v>156</v>
      </c>
      <c r="AM4" s="609" t="s">
        <v>403</v>
      </c>
      <c r="AN4" s="558" t="s">
        <v>158</v>
      </c>
      <c r="AO4" s="280"/>
      <c r="AP4" s="280"/>
      <c r="AQ4" s="540" t="s">
        <v>191</v>
      </c>
      <c r="AR4" s="541" t="s">
        <v>160</v>
      </c>
      <c r="AS4" s="822">
        <v>0</v>
      </c>
      <c r="AT4" s="825" t="s">
        <v>404</v>
      </c>
      <c r="AU4" s="280" t="s">
        <v>280</v>
      </c>
      <c r="AV4" s="280"/>
      <c r="AW4" s="540" t="s">
        <v>191</v>
      </c>
      <c r="AX4" s="541" t="s">
        <v>160</v>
      </c>
      <c r="AY4" s="822">
        <v>0</v>
      </c>
      <c r="AZ4" s="825"/>
      <c r="BA4" s="280" t="s">
        <v>280</v>
      </c>
      <c r="BB4" s="280"/>
      <c r="BC4" s="527" t="s">
        <v>405</v>
      </c>
      <c r="BD4" s="364" t="s">
        <v>160</v>
      </c>
      <c r="BE4" s="639">
        <v>0.9</v>
      </c>
      <c r="BF4" s="825" t="s">
        <v>161</v>
      </c>
      <c r="BG4" s="2" t="s">
        <v>280</v>
      </c>
    </row>
    <row r="5" spans="1:59" ht="18">
      <c r="A5" s="540" t="s">
        <v>191</v>
      </c>
      <c r="B5" s="541" t="s">
        <v>160</v>
      </c>
      <c r="C5" s="822">
        <v>5.0000000000000001E-3</v>
      </c>
      <c r="D5" s="823" t="s">
        <v>406</v>
      </c>
      <c r="E5" s="822">
        <v>5.0000000000000001E-3</v>
      </c>
      <c r="F5" s="823" t="s">
        <v>406</v>
      </c>
      <c r="G5" s="822">
        <v>5.0000000000000001E-3</v>
      </c>
      <c r="H5" s="823" t="s">
        <v>406</v>
      </c>
      <c r="I5" s="822">
        <v>5.0000000000000001E-3</v>
      </c>
      <c r="J5" s="823" t="s">
        <v>406</v>
      </c>
      <c r="K5" s="822">
        <v>5.0000000000000001E-3</v>
      </c>
      <c r="L5" s="823" t="s">
        <v>406</v>
      </c>
      <c r="M5" s="822">
        <v>5.0000000000000001E-3</v>
      </c>
      <c r="N5" s="823" t="s">
        <v>406</v>
      </c>
      <c r="O5" s="822">
        <v>5.0000000000000001E-3</v>
      </c>
      <c r="P5" s="823" t="s">
        <v>406</v>
      </c>
      <c r="Q5" s="822">
        <v>5.0000000000000001E-3</v>
      </c>
      <c r="R5" s="823" t="s">
        <v>406</v>
      </c>
      <c r="S5" s="822">
        <v>5.0000000000000001E-3</v>
      </c>
      <c r="T5" s="823" t="s">
        <v>406</v>
      </c>
      <c r="U5" s="822">
        <v>5.0000000000000001E-3</v>
      </c>
      <c r="V5" s="823" t="s">
        <v>406</v>
      </c>
      <c r="W5" s="822">
        <v>5.0000000000000001E-3</v>
      </c>
      <c r="X5" s="823" t="s">
        <v>406</v>
      </c>
      <c r="Y5" s="822">
        <v>5.0000000000000001E-3</v>
      </c>
      <c r="Z5" s="823" t="s">
        <v>406</v>
      </c>
      <c r="AA5" s="822">
        <v>5.0000000000000001E-3</v>
      </c>
      <c r="AB5" s="823" t="s">
        <v>406</v>
      </c>
      <c r="AC5" s="822">
        <v>5.0000000000000001E-3</v>
      </c>
      <c r="AD5" s="823" t="s">
        <v>406</v>
      </c>
      <c r="AE5" s="822">
        <v>5.0000000000000001E-3</v>
      </c>
      <c r="AF5" s="824" t="s">
        <v>406</v>
      </c>
      <c r="AG5" s="271" t="s">
        <v>280</v>
      </c>
      <c r="AI5" s="540" t="s">
        <v>191</v>
      </c>
      <c r="AJ5" s="541" t="s">
        <v>160</v>
      </c>
      <c r="AK5" s="822">
        <v>0.02</v>
      </c>
      <c r="AL5" s="698" t="s">
        <v>407</v>
      </c>
      <c r="AM5" s="822">
        <v>0.02</v>
      </c>
      <c r="AN5" s="825" t="s">
        <v>407</v>
      </c>
      <c r="AO5" s="280" t="s">
        <v>280</v>
      </c>
      <c r="AP5" s="280"/>
      <c r="AQ5" s="527" t="s">
        <v>405</v>
      </c>
      <c r="AR5" s="364" t="s">
        <v>160</v>
      </c>
      <c r="AS5" s="639">
        <v>0.95</v>
      </c>
      <c r="AT5" s="838" t="s">
        <v>408</v>
      </c>
      <c r="AU5" s="280" t="s">
        <v>280</v>
      </c>
      <c r="AV5" s="280"/>
      <c r="AW5" s="527" t="s">
        <v>405</v>
      </c>
      <c r="AX5" s="364" t="s">
        <v>160</v>
      </c>
      <c r="AY5" s="639">
        <v>0.9</v>
      </c>
      <c r="AZ5" s="825" t="s">
        <v>161</v>
      </c>
      <c r="BA5" s="280" t="s">
        <v>280</v>
      </c>
      <c r="BB5" s="280"/>
      <c r="BC5" s="527" t="s">
        <v>409</v>
      </c>
      <c r="BD5" s="364" t="s">
        <v>160</v>
      </c>
      <c r="BE5" s="639">
        <f>1-0.99</f>
        <v>1.0000000000000009E-2</v>
      </c>
      <c r="BF5" s="825" t="s">
        <v>161</v>
      </c>
      <c r="BG5" s="2" t="s">
        <v>280</v>
      </c>
    </row>
    <row r="6" spans="1:59" ht="18">
      <c r="A6" s="527" t="s">
        <v>405</v>
      </c>
      <c r="B6" s="364" t="s">
        <v>160</v>
      </c>
      <c r="C6" s="639">
        <v>0.9</v>
      </c>
      <c r="D6" s="698" t="s">
        <v>410</v>
      </c>
      <c r="E6" s="639">
        <v>0.9</v>
      </c>
      <c r="F6" s="698" t="s">
        <v>410</v>
      </c>
      <c r="G6" s="639">
        <v>0.9</v>
      </c>
      <c r="H6" s="698" t="s">
        <v>410</v>
      </c>
      <c r="I6" s="639">
        <v>0.9</v>
      </c>
      <c r="J6" s="698" t="s">
        <v>410</v>
      </c>
      <c r="K6" s="639">
        <v>0.9</v>
      </c>
      <c r="L6" s="698" t="s">
        <v>410</v>
      </c>
      <c r="M6" s="639">
        <v>0.9</v>
      </c>
      <c r="N6" s="698" t="s">
        <v>410</v>
      </c>
      <c r="O6" s="639">
        <v>0.9</v>
      </c>
      <c r="P6" s="698" t="s">
        <v>410</v>
      </c>
      <c r="Q6" s="639" t="s">
        <v>222</v>
      </c>
      <c r="R6" s="698"/>
      <c r="S6" s="639" t="s">
        <v>222</v>
      </c>
      <c r="T6" s="698"/>
      <c r="U6" s="639" t="s">
        <v>222</v>
      </c>
      <c r="V6" s="698"/>
      <c r="W6" s="639" t="s">
        <v>222</v>
      </c>
      <c r="X6" s="698"/>
      <c r="Y6" s="639" t="s">
        <v>222</v>
      </c>
      <c r="Z6" s="698"/>
      <c r="AA6" s="639" t="s">
        <v>222</v>
      </c>
      <c r="AB6" s="698"/>
      <c r="AC6" s="639" t="s">
        <v>222</v>
      </c>
      <c r="AD6" s="698"/>
      <c r="AE6" s="639" t="s">
        <v>222</v>
      </c>
      <c r="AF6" s="698"/>
      <c r="AG6" s="271" t="s">
        <v>280</v>
      </c>
      <c r="AI6" s="527" t="s">
        <v>405</v>
      </c>
      <c r="AJ6" s="364" t="s">
        <v>160</v>
      </c>
      <c r="AK6" s="639">
        <v>0.95</v>
      </c>
      <c r="AL6" s="698" t="s">
        <v>411</v>
      </c>
      <c r="AM6" s="639">
        <v>0.95</v>
      </c>
      <c r="AN6" s="825" t="s">
        <v>411</v>
      </c>
      <c r="AO6" s="280" t="s">
        <v>280</v>
      </c>
      <c r="AP6" s="280"/>
      <c r="AQ6" s="527" t="s">
        <v>202</v>
      </c>
      <c r="AR6" s="364" t="s">
        <v>160</v>
      </c>
      <c r="AS6" s="630">
        <v>0.03</v>
      </c>
      <c r="AT6" s="825" t="s">
        <v>404</v>
      </c>
      <c r="AU6" s="280" t="s">
        <v>280</v>
      </c>
      <c r="AV6" s="280"/>
      <c r="AW6" s="527" t="s">
        <v>202</v>
      </c>
      <c r="AX6" s="364" t="s">
        <v>160</v>
      </c>
      <c r="AY6" s="630">
        <f>(0.04+0.025)/2</f>
        <v>3.2500000000000001E-2</v>
      </c>
      <c r="AZ6" s="825" t="s">
        <v>412</v>
      </c>
      <c r="BA6" s="280" t="s">
        <v>280</v>
      </c>
      <c r="BB6" s="280"/>
      <c r="BC6" s="527" t="s">
        <v>413</v>
      </c>
      <c r="BD6" s="364" t="s">
        <v>160</v>
      </c>
      <c r="BE6" s="639">
        <f>1-0.85</f>
        <v>0.15000000000000002</v>
      </c>
      <c r="BF6" s="825" t="s">
        <v>161</v>
      </c>
      <c r="BG6" s="2" t="s">
        <v>280</v>
      </c>
    </row>
    <row r="7" spans="1:59" ht="18">
      <c r="A7" s="527" t="s">
        <v>414</v>
      </c>
      <c r="B7" s="364" t="s">
        <v>160</v>
      </c>
      <c r="C7" s="639">
        <v>0.95</v>
      </c>
      <c r="D7" s="698" t="s">
        <v>410</v>
      </c>
      <c r="E7" s="639">
        <v>0.95</v>
      </c>
      <c r="F7" s="698" t="s">
        <v>410</v>
      </c>
      <c r="G7" s="639">
        <v>0.95</v>
      </c>
      <c r="H7" s="698" t="s">
        <v>410</v>
      </c>
      <c r="I7" s="639">
        <v>0.95</v>
      </c>
      <c r="J7" s="698" t="s">
        <v>410</v>
      </c>
      <c r="K7" s="639">
        <v>0.95</v>
      </c>
      <c r="L7" s="698" t="s">
        <v>410</v>
      </c>
      <c r="M7" s="639">
        <v>0.95</v>
      </c>
      <c r="N7" s="698" t="s">
        <v>410</v>
      </c>
      <c r="O7" s="639">
        <v>0.95</v>
      </c>
      <c r="P7" s="698" t="s">
        <v>410</v>
      </c>
      <c r="Q7" s="639">
        <v>0.95</v>
      </c>
      <c r="R7" s="698" t="s">
        <v>410</v>
      </c>
      <c r="S7" s="639">
        <v>0.95</v>
      </c>
      <c r="T7" s="698" t="s">
        <v>410</v>
      </c>
      <c r="U7" s="639">
        <v>0.95</v>
      </c>
      <c r="V7" s="698" t="s">
        <v>410</v>
      </c>
      <c r="W7" s="639">
        <v>0.95</v>
      </c>
      <c r="X7" s="698" t="s">
        <v>410</v>
      </c>
      <c r="Y7" s="639">
        <v>0.95</v>
      </c>
      <c r="Z7" s="698" t="s">
        <v>410</v>
      </c>
      <c r="AA7" s="639">
        <v>0.95</v>
      </c>
      <c r="AB7" s="698" t="s">
        <v>410</v>
      </c>
      <c r="AC7" s="639">
        <v>0.95</v>
      </c>
      <c r="AD7" s="698" t="s">
        <v>410</v>
      </c>
      <c r="AE7" s="639">
        <v>0.95</v>
      </c>
      <c r="AF7" s="825" t="s">
        <v>410</v>
      </c>
      <c r="AG7" s="271" t="s">
        <v>280</v>
      </c>
      <c r="AI7" s="527" t="s">
        <v>202</v>
      </c>
      <c r="AJ7" s="364" t="s">
        <v>160</v>
      </c>
      <c r="AK7" s="630">
        <v>0.04</v>
      </c>
      <c r="AL7" s="698" t="s">
        <v>161</v>
      </c>
      <c r="AM7" s="630">
        <v>0.04</v>
      </c>
      <c r="AN7" s="825" t="s">
        <v>161</v>
      </c>
      <c r="AO7" s="280" t="s">
        <v>280</v>
      </c>
      <c r="AP7" s="280"/>
      <c r="AQ7" s="527" t="s">
        <v>415</v>
      </c>
      <c r="AR7" s="364" t="s">
        <v>416</v>
      </c>
      <c r="AS7" s="630">
        <v>0.6</v>
      </c>
      <c r="AT7" s="825" t="s">
        <v>404</v>
      </c>
      <c r="AU7" s="280" t="s">
        <v>280</v>
      </c>
      <c r="AV7" s="280"/>
      <c r="AW7" s="527" t="s">
        <v>417</v>
      </c>
      <c r="AX7" s="364" t="s">
        <v>418</v>
      </c>
      <c r="AY7" s="839">
        <f>(2.8/'General values'!$C$48)</f>
        <v>0.77777777777777768</v>
      </c>
      <c r="AZ7" s="825" t="s">
        <v>419</v>
      </c>
      <c r="BA7" s="280" t="s">
        <v>280</v>
      </c>
      <c r="BB7" s="280"/>
      <c r="BC7" s="527" t="s">
        <v>202</v>
      </c>
      <c r="BD7" s="364" t="s">
        <v>160</v>
      </c>
      <c r="BE7" s="630">
        <v>0.04</v>
      </c>
      <c r="BF7" s="825" t="s">
        <v>161</v>
      </c>
      <c r="BG7" s="2" t="s">
        <v>280</v>
      </c>
    </row>
    <row r="8" spans="1:59" ht="18">
      <c r="A8" s="527" t="s">
        <v>420</v>
      </c>
      <c r="B8" s="364" t="s">
        <v>160</v>
      </c>
      <c r="C8" s="630">
        <v>0.8</v>
      </c>
      <c r="D8" s="698" t="s">
        <v>410</v>
      </c>
      <c r="E8" s="630">
        <v>0.8</v>
      </c>
      <c r="F8" s="698" t="s">
        <v>410</v>
      </c>
      <c r="G8" s="630">
        <v>0.8</v>
      </c>
      <c r="H8" s="698" t="s">
        <v>410</v>
      </c>
      <c r="I8" s="630">
        <v>0.8</v>
      </c>
      <c r="J8" s="698" t="s">
        <v>410</v>
      </c>
      <c r="K8" s="630">
        <v>0.8</v>
      </c>
      <c r="L8" s="698" t="s">
        <v>410</v>
      </c>
      <c r="M8" s="630">
        <v>0.8</v>
      </c>
      <c r="N8" s="698" t="s">
        <v>410</v>
      </c>
      <c r="O8" s="639">
        <v>0.85</v>
      </c>
      <c r="P8" s="698" t="s">
        <v>227</v>
      </c>
      <c r="Q8" s="639">
        <v>0.85</v>
      </c>
      <c r="R8" s="698" t="s">
        <v>227</v>
      </c>
      <c r="S8" s="639">
        <v>0.85</v>
      </c>
      <c r="T8" s="698" t="s">
        <v>227</v>
      </c>
      <c r="U8" s="639">
        <v>0.85</v>
      </c>
      <c r="V8" s="698" t="s">
        <v>227</v>
      </c>
      <c r="W8" s="639">
        <v>0.85</v>
      </c>
      <c r="X8" s="698" t="s">
        <v>227</v>
      </c>
      <c r="Y8" s="639">
        <v>0.85</v>
      </c>
      <c r="Z8" s="698" t="s">
        <v>227</v>
      </c>
      <c r="AA8" s="639">
        <v>0.85</v>
      </c>
      <c r="AB8" s="698" t="s">
        <v>227</v>
      </c>
      <c r="AC8" s="639">
        <v>0.85</v>
      </c>
      <c r="AD8" s="698" t="s">
        <v>227</v>
      </c>
      <c r="AE8" s="639">
        <v>0.85</v>
      </c>
      <c r="AF8" s="825" t="s">
        <v>227</v>
      </c>
      <c r="AG8" s="271" t="s">
        <v>280</v>
      </c>
      <c r="AI8" s="632" t="s">
        <v>206</v>
      </c>
      <c r="AJ8" s="364" t="s">
        <v>207</v>
      </c>
      <c r="AK8" s="831">
        <v>20</v>
      </c>
      <c r="AL8" s="828" t="s">
        <v>411</v>
      </c>
      <c r="AM8" s="831">
        <v>20</v>
      </c>
      <c r="AN8" s="832" t="s">
        <v>411</v>
      </c>
      <c r="AO8" s="280" t="s">
        <v>280</v>
      </c>
      <c r="AP8" s="280"/>
      <c r="AQ8" s="632" t="s">
        <v>206</v>
      </c>
      <c r="AR8" s="364" t="s">
        <v>207</v>
      </c>
      <c r="AS8" s="831">
        <v>10</v>
      </c>
      <c r="AT8" s="825" t="s">
        <v>404</v>
      </c>
      <c r="AU8" s="280" t="s">
        <v>280</v>
      </c>
      <c r="AV8" s="280"/>
      <c r="AW8" s="527" t="s">
        <v>421</v>
      </c>
      <c r="AX8" s="364" t="s">
        <v>418</v>
      </c>
      <c r="AY8" s="839">
        <f>(1.4/'General values'!$C$48)</f>
        <v>0.38888888888888884</v>
      </c>
      <c r="AZ8" s="832" t="s">
        <v>419</v>
      </c>
      <c r="BA8" s="280" t="s">
        <v>280</v>
      </c>
      <c r="BB8" s="280"/>
      <c r="BC8" s="527" t="s">
        <v>422</v>
      </c>
      <c r="BD8" s="364" t="s">
        <v>423</v>
      </c>
      <c r="BE8" s="835">
        <v>9.6999999999999993</v>
      </c>
      <c r="BF8" s="825" t="s">
        <v>161</v>
      </c>
      <c r="BG8" s="2" t="s">
        <v>280</v>
      </c>
    </row>
    <row r="9" spans="1:59" ht="18">
      <c r="A9" s="527" t="s">
        <v>424</v>
      </c>
      <c r="B9" s="364" t="s">
        <v>425</v>
      </c>
      <c r="C9" s="630">
        <f>HOME!B69*1000/8760</f>
        <v>722.03196347031962</v>
      </c>
      <c r="D9" s="364"/>
      <c r="E9" s="826">
        <f>IF(AND(HOME!D87=0,HOME!D88=0,HOME!K9="No"),HOME!B69*1000/8760,(Pipeline!$D$102*(10^6))/'General values'!$C$3)</f>
        <v>36003.600360036005</v>
      </c>
      <c r="F9" s="364"/>
      <c r="G9" s="548">
        <f>(Pipeline!$D$38*(10^6))/'General values'!$C$3</f>
        <v>390039.00390039006</v>
      </c>
      <c r="H9" s="364"/>
      <c r="I9" s="548">
        <f>(Pipeline!$D$70*(10^6))/'General values'!$C$3</f>
        <v>390039.00390039006</v>
      </c>
      <c r="J9" s="364"/>
      <c r="K9" s="548">
        <f>(Pipeline!$D$102*(10^6))/'General values'!$C$3</f>
        <v>36003.600360036005</v>
      </c>
      <c r="L9" s="364"/>
      <c r="M9" s="548">
        <f>IF(HOME!D106&gt;0,IF(HOME!H9="Truck",Tb_Cpr[[#This Row],[Truck - 250 bar]],Tb_Cpr[[#This Row],[Pipeline booster - distribution]]),IF(AND(HOME!F9="Pipeline",HOME!D88&gt;0),Tb_Cpr[[#This Row],[Pipeline booster - transmission onshore]],IF(AND(HOME!E9="Pipeline",HOME!D88&gt;0),Tb_Cpr[[#This Row],[Pipeline booster - transmission offshore]],HOME!B69*1000/8760)))</f>
        <v>64.982876712328761</v>
      </c>
      <c r="N9" s="364"/>
      <c r="O9" s="630">
        <f>Truck!D27*Truck!C49/8760</f>
        <v>64.982876712328761</v>
      </c>
      <c r="P9" s="364"/>
      <c r="Q9" s="630">
        <f>(FinalStorage!$D$25*1000)/FinalStorage!$D$27</f>
        <v>722.03196347031974</v>
      </c>
      <c r="R9" s="827" t="s">
        <v>426</v>
      </c>
      <c r="S9" s="630">
        <f>(FinalStorage!$D$25*1000)/FinalStorage!$D$27</f>
        <v>722.03196347031974</v>
      </c>
      <c r="T9" s="827" t="s">
        <v>426</v>
      </c>
      <c r="U9" s="630">
        <f>(FinalStorage!$D$25*1000)/FinalStorage!$D$27</f>
        <v>722.03196347031974</v>
      </c>
      <c r="V9" s="827" t="s">
        <v>426</v>
      </c>
      <c r="W9" s="630">
        <f>(FinalStorage!$D$25*1000)/FinalStorage!$D$27</f>
        <v>722.03196347031974</v>
      </c>
      <c r="X9" s="827" t="s">
        <v>426</v>
      </c>
      <c r="Y9" s="630">
        <f>(FinalStorage!$D$25*1000)/FinalStorage!$D$27</f>
        <v>722.03196347031974</v>
      </c>
      <c r="Z9" s="827" t="s">
        <v>426</v>
      </c>
      <c r="AA9" s="630">
        <f>(FinalStorage!$D$25*1000)/FinalStorage!$D$27</f>
        <v>722.03196347031974</v>
      </c>
      <c r="AB9" s="827" t="s">
        <v>426</v>
      </c>
      <c r="AC9" s="630">
        <f>(FinalStorage!$D$25*1000)/FinalStorage!$D$27</f>
        <v>722.03196347031974</v>
      </c>
      <c r="AD9" s="827" t="s">
        <v>426</v>
      </c>
      <c r="AE9" s="630">
        <f>(FinalStorage!$D$25*1000)/FinalStorage!$D$27</f>
        <v>722.03196347031974</v>
      </c>
      <c r="AF9" s="827" t="s">
        <v>426</v>
      </c>
      <c r="AG9" s="271" t="s">
        <v>280</v>
      </c>
      <c r="AI9" s="527" t="s">
        <v>211</v>
      </c>
      <c r="AJ9" s="364" t="s">
        <v>160</v>
      </c>
      <c r="AK9" s="834">
        <v>0.08</v>
      </c>
      <c r="AL9" s="828" t="s">
        <v>161</v>
      </c>
      <c r="AM9" s="834">
        <v>0.08</v>
      </c>
      <c r="AN9" s="832" t="s">
        <v>161</v>
      </c>
      <c r="AO9" s="280" t="s">
        <v>280</v>
      </c>
      <c r="AP9" s="280"/>
      <c r="AQ9" s="527" t="s">
        <v>211</v>
      </c>
      <c r="AR9" s="364" t="s">
        <v>160</v>
      </c>
      <c r="AS9" s="834">
        <v>0.08</v>
      </c>
      <c r="AT9" s="832" t="s">
        <v>404</v>
      </c>
      <c r="AU9" s="280" t="s">
        <v>280</v>
      </c>
      <c r="AV9" s="280"/>
      <c r="AW9" s="632" t="s">
        <v>206</v>
      </c>
      <c r="AX9" s="364" t="s">
        <v>207</v>
      </c>
      <c r="AY9" s="831">
        <v>28</v>
      </c>
      <c r="AZ9" s="838" t="s">
        <v>199</v>
      </c>
      <c r="BA9" s="280" t="s">
        <v>280</v>
      </c>
      <c r="BB9" s="280"/>
      <c r="BC9" s="527" t="s">
        <v>427</v>
      </c>
      <c r="BD9" s="364" t="s">
        <v>423</v>
      </c>
      <c r="BE9" s="835">
        <v>1.5</v>
      </c>
      <c r="BF9" s="832" t="s">
        <v>161</v>
      </c>
      <c r="BG9" s="2" t="s">
        <v>280</v>
      </c>
    </row>
    <row r="10" spans="1:59" ht="18">
      <c r="A10" s="527" t="s">
        <v>428</v>
      </c>
      <c r="B10" s="364" t="s">
        <v>59</v>
      </c>
      <c r="C10" s="639">
        <f>IF(HOME!E9="Pipeline",HOME!K39,HOME!K41)</f>
        <v>30</v>
      </c>
      <c r="D10" s="828" t="s">
        <v>429</v>
      </c>
      <c r="E10" s="826">
        <f>IF(IF(HOME!J44="No storage",HOME!K43,HOME!K44)&gt;E12,E12-1,IF(HOME!J44="No storage",HOME!K43,HOME!K44))</f>
        <v>49</v>
      </c>
      <c r="F10" s="828"/>
      <c r="G10" s="551">
        <f>Pipeline!D42</f>
        <v>33.937831137723535</v>
      </c>
      <c r="H10" s="828"/>
      <c r="I10" s="551">
        <f>Pipeline!D74</f>
        <v>33.937831137723535</v>
      </c>
      <c r="J10" s="828"/>
      <c r="K10" s="826">
        <f>Pipeline!D106</f>
        <v>27.105366739905097</v>
      </c>
      <c r="L10" s="828"/>
      <c r="M10" s="826">
        <f>IF(HOME!D106&gt;0,HOME!K45,HOME!K43)</f>
        <v>250</v>
      </c>
      <c r="N10" s="828"/>
      <c r="O10" s="548">
        <f>IF(HOME!K9="No",HOME!K43,HOME!K44)</f>
        <v>150</v>
      </c>
      <c r="P10" s="364"/>
      <c r="Q10" s="551">
        <f>HOME!$K$43</f>
        <v>30</v>
      </c>
      <c r="R10" s="364"/>
      <c r="S10" s="551">
        <f>HOME!$K$43</f>
        <v>30</v>
      </c>
      <c r="T10" s="364"/>
      <c r="U10" s="551">
        <f>HOME!$K$43</f>
        <v>30</v>
      </c>
      <c r="V10" s="364"/>
      <c r="W10" s="551">
        <f>HOME!$K$43</f>
        <v>30</v>
      </c>
      <c r="X10" s="364"/>
      <c r="Y10" s="551">
        <f>HOME!$K$43</f>
        <v>30</v>
      </c>
      <c r="Z10" s="364"/>
      <c r="AA10" s="551">
        <f>HOME!$K$43</f>
        <v>30</v>
      </c>
      <c r="AB10" s="364"/>
      <c r="AC10" s="551">
        <f>HOME!$K$43</f>
        <v>30</v>
      </c>
      <c r="AD10" s="364"/>
      <c r="AE10" s="551">
        <f>HOME!$K$43</f>
        <v>30</v>
      </c>
      <c r="AF10" s="692"/>
      <c r="AG10" s="271" t="s">
        <v>280</v>
      </c>
      <c r="AI10" s="527" t="s">
        <v>430</v>
      </c>
      <c r="AJ10" s="364" t="s">
        <v>160</v>
      </c>
      <c r="AK10" s="639">
        <v>0.7</v>
      </c>
      <c r="AL10" s="828" t="s">
        <v>431</v>
      </c>
      <c r="AM10" s="639">
        <v>0.7</v>
      </c>
      <c r="AN10" s="832" t="s">
        <v>431</v>
      </c>
      <c r="AO10" s="280" t="s">
        <v>280</v>
      </c>
      <c r="AP10" s="280"/>
      <c r="AQ10" s="527" t="s">
        <v>432</v>
      </c>
      <c r="AR10" s="364" t="s">
        <v>160</v>
      </c>
      <c r="AS10" s="630">
        <v>0.78359999999999996</v>
      </c>
      <c r="AT10" s="832" t="s">
        <v>433</v>
      </c>
      <c r="AU10" s="280" t="s">
        <v>280</v>
      </c>
      <c r="AV10" s="280"/>
      <c r="AW10" s="527" t="s">
        <v>211</v>
      </c>
      <c r="AX10" s="364" t="s">
        <v>160</v>
      </c>
      <c r="AY10" s="834">
        <v>0.08</v>
      </c>
      <c r="AZ10" s="825" t="s">
        <v>161</v>
      </c>
      <c r="BA10" s="280" t="s">
        <v>280</v>
      </c>
      <c r="BB10" s="280"/>
      <c r="BC10" s="632" t="s">
        <v>206</v>
      </c>
      <c r="BD10" s="364" t="s">
        <v>207</v>
      </c>
      <c r="BE10" s="831">
        <v>30</v>
      </c>
      <c r="BF10" s="832" t="s">
        <v>161</v>
      </c>
      <c r="BG10" s="2" t="s">
        <v>280</v>
      </c>
    </row>
    <row r="11" spans="1:59" ht="18">
      <c r="A11" s="527" t="s">
        <v>434</v>
      </c>
      <c r="B11" s="364" t="s">
        <v>194</v>
      </c>
      <c r="C11" s="639">
        <v>32</v>
      </c>
      <c r="D11" s="828" t="s">
        <v>410</v>
      </c>
      <c r="E11" s="639">
        <v>32</v>
      </c>
      <c r="F11" s="828" t="s">
        <v>410</v>
      </c>
      <c r="G11" s="364">
        <v>32</v>
      </c>
      <c r="H11" s="828" t="s">
        <v>410</v>
      </c>
      <c r="I11" s="364">
        <v>32</v>
      </c>
      <c r="J11" s="828" t="s">
        <v>410</v>
      </c>
      <c r="K11" s="364">
        <v>32</v>
      </c>
      <c r="L11" s="828" t="s">
        <v>410</v>
      </c>
      <c r="M11" s="364">
        <v>32</v>
      </c>
      <c r="N11" s="828" t="s">
        <v>410</v>
      </c>
      <c r="O11" s="364">
        <v>32</v>
      </c>
      <c r="P11" s="828" t="s">
        <v>410</v>
      </c>
      <c r="Q11" s="364">
        <v>25</v>
      </c>
      <c r="R11" s="828"/>
      <c r="S11" s="364">
        <v>25</v>
      </c>
      <c r="T11" s="828"/>
      <c r="U11" s="364">
        <v>25</v>
      </c>
      <c r="V11" s="828"/>
      <c r="W11" s="364">
        <v>25</v>
      </c>
      <c r="X11" s="828"/>
      <c r="Y11" s="548">
        <v>35</v>
      </c>
      <c r="Z11" s="829" t="s">
        <v>201</v>
      </c>
      <c r="AA11" s="548">
        <v>35</v>
      </c>
      <c r="AB11" s="829" t="s">
        <v>201</v>
      </c>
      <c r="AC11" s="548">
        <v>35</v>
      </c>
      <c r="AD11" s="829" t="s">
        <v>201</v>
      </c>
      <c r="AE11" s="548">
        <v>35</v>
      </c>
      <c r="AF11" s="829" t="s">
        <v>201</v>
      </c>
      <c r="AG11" s="271" t="s">
        <v>280</v>
      </c>
      <c r="AI11" s="527" t="s">
        <v>435</v>
      </c>
      <c r="AJ11" s="364" t="s">
        <v>292</v>
      </c>
      <c r="AK11" s="630">
        <f>(1400/'General values'!$M$24)/'General values'!$N$17</f>
        <v>1253.5139503728035</v>
      </c>
      <c r="AL11" s="828" t="s">
        <v>161</v>
      </c>
      <c r="AM11" s="630">
        <f>((1400/'General values'!$M$24)/'General values'!$N$17)*(1-0.327)</f>
        <v>843.61488860089685</v>
      </c>
      <c r="AN11" s="832" t="s">
        <v>436</v>
      </c>
      <c r="AO11" s="280" t="s">
        <v>280</v>
      </c>
      <c r="AP11" s="280"/>
      <c r="AQ11" s="527" t="s">
        <v>437</v>
      </c>
      <c r="AR11" s="364" t="s">
        <v>438</v>
      </c>
      <c r="AS11" s="826">
        <f>16371</f>
        <v>16371</v>
      </c>
      <c r="AT11" s="832" t="s">
        <v>433</v>
      </c>
      <c r="AU11" s="280" t="s">
        <v>280</v>
      </c>
      <c r="AV11" s="280"/>
      <c r="AW11" s="527" t="s">
        <v>439</v>
      </c>
      <c r="AX11" s="364" t="s">
        <v>160</v>
      </c>
      <c r="AY11" s="630">
        <v>0.7</v>
      </c>
      <c r="AZ11" s="832" t="s">
        <v>431</v>
      </c>
      <c r="BA11" s="280" t="s">
        <v>280</v>
      </c>
      <c r="BB11" s="280"/>
      <c r="BC11" s="527" t="s">
        <v>211</v>
      </c>
      <c r="BD11" s="364" t="s">
        <v>160</v>
      </c>
      <c r="BE11" s="834">
        <v>0.08</v>
      </c>
      <c r="BF11" s="832" t="s">
        <v>161</v>
      </c>
      <c r="BG11" s="2" t="s">
        <v>280</v>
      </c>
    </row>
    <row r="12" spans="1:59" ht="18">
      <c r="A12" s="527" t="s">
        <v>440</v>
      </c>
      <c r="B12" s="633" t="s">
        <v>59</v>
      </c>
      <c r="C12" s="639">
        <f>IF(HOME!E9="Pipeline",Pipeline!D36,Pipeline!D68)</f>
        <v>80</v>
      </c>
      <c r="D12" s="364"/>
      <c r="E12" s="826">
        <f>Pipeline!D100</f>
        <v>50</v>
      </c>
      <c r="F12" s="364"/>
      <c r="G12" s="551">
        <f>Pipeline!$D$36</f>
        <v>80</v>
      </c>
      <c r="H12" s="364"/>
      <c r="I12" s="551">
        <f>Pipeline!$D$68</f>
        <v>80</v>
      </c>
      <c r="J12" s="364"/>
      <c r="K12" s="826">
        <f>Pipeline!$D$100</f>
        <v>50</v>
      </c>
      <c r="L12" s="364"/>
      <c r="M12" s="826">
        <f>HOME!B155</f>
        <v>1</v>
      </c>
      <c r="N12" s="364"/>
      <c r="O12" s="364">
        <v>250</v>
      </c>
      <c r="P12" s="828" t="s">
        <v>441</v>
      </c>
      <c r="Q12" s="364">
        <v>250</v>
      </c>
      <c r="R12" s="830" t="s">
        <v>195</v>
      </c>
      <c r="S12" s="364">
        <v>250</v>
      </c>
      <c r="T12" s="827" t="s">
        <v>1312</v>
      </c>
      <c r="U12" s="364">
        <v>325</v>
      </c>
      <c r="V12" s="830" t="s">
        <v>195</v>
      </c>
      <c r="W12" s="364">
        <v>600</v>
      </c>
      <c r="X12" s="830" t="s">
        <v>195</v>
      </c>
      <c r="Y12" s="364">
        <v>150</v>
      </c>
      <c r="Z12" s="828" t="s">
        <v>196</v>
      </c>
      <c r="AA12" s="364">
        <v>122.5</v>
      </c>
      <c r="AB12" s="828" t="s">
        <v>196</v>
      </c>
      <c r="AC12" s="364">
        <v>110</v>
      </c>
      <c r="AD12" s="828" t="s">
        <v>196</v>
      </c>
      <c r="AE12" s="364">
        <v>172.5</v>
      </c>
      <c r="AF12" s="828" t="s">
        <v>196</v>
      </c>
      <c r="AG12" s="271" t="s">
        <v>280</v>
      </c>
      <c r="AI12" s="545" t="s">
        <v>442</v>
      </c>
      <c r="AJ12" s="546" t="s">
        <v>443</v>
      </c>
      <c r="AK12" s="648">
        <f>(260*1000)/360</f>
        <v>722.22222222222217</v>
      </c>
      <c r="AL12" s="836" t="s">
        <v>161</v>
      </c>
      <c r="AM12" s="648">
        <f>(260*1000)/360</f>
        <v>722.22222222222217</v>
      </c>
      <c r="AN12" s="840" t="s">
        <v>161</v>
      </c>
      <c r="AO12" s="280" t="s">
        <v>280</v>
      </c>
      <c r="AP12" s="280"/>
      <c r="AQ12" s="545" t="s">
        <v>444</v>
      </c>
      <c r="AR12" s="546" t="s">
        <v>443</v>
      </c>
      <c r="AS12" s="648">
        <v>1</v>
      </c>
      <c r="AT12" s="841" t="s">
        <v>433</v>
      </c>
      <c r="AU12" s="280" t="s">
        <v>280</v>
      </c>
      <c r="AV12" s="280"/>
      <c r="AW12" s="527" t="s">
        <v>445</v>
      </c>
      <c r="AX12" s="364" t="s">
        <v>292</v>
      </c>
      <c r="AY12" s="630">
        <f>((245*10^6)/'General values'!$M$24/'General values'!$N$8)*(10^-6)</f>
        <v>244.3577074210921</v>
      </c>
      <c r="AZ12" s="825" t="s">
        <v>446</v>
      </c>
      <c r="BA12" s="280" t="s">
        <v>280</v>
      </c>
      <c r="BB12" s="280"/>
      <c r="BC12" s="527" t="s">
        <v>447</v>
      </c>
      <c r="BD12" s="364" t="s">
        <v>160</v>
      </c>
      <c r="BE12" s="630">
        <v>0.7</v>
      </c>
      <c r="BF12" s="832" t="s">
        <v>431</v>
      </c>
      <c r="BG12" s="2" t="s">
        <v>280</v>
      </c>
    </row>
    <row r="13" spans="1:59" ht="18">
      <c r="A13" s="527" t="s">
        <v>448</v>
      </c>
      <c r="B13" s="364" t="s">
        <v>160</v>
      </c>
      <c r="C13" s="639">
        <v>2.1</v>
      </c>
      <c r="D13" s="698" t="s">
        <v>410</v>
      </c>
      <c r="E13" s="639">
        <v>2.1</v>
      </c>
      <c r="F13" s="698" t="s">
        <v>410</v>
      </c>
      <c r="G13" s="639">
        <v>2.1</v>
      </c>
      <c r="H13" s="698" t="s">
        <v>410</v>
      </c>
      <c r="I13" s="639">
        <v>2.1</v>
      </c>
      <c r="J13" s="698" t="s">
        <v>410</v>
      </c>
      <c r="K13" s="639">
        <v>2.1</v>
      </c>
      <c r="L13" s="698" t="s">
        <v>410</v>
      </c>
      <c r="M13" s="639">
        <v>2.1</v>
      </c>
      <c r="N13" s="698" t="s">
        <v>410</v>
      </c>
      <c r="O13" s="639">
        <v>2.1</v>
      </c>
      <c r="P13" s="698" t="s">
        <v>410</v>
      </c>
      <c r="Q13" s="639">
        <v>2.1</v>
      </c>
      <c r="R13" s="698" t="s">
        <v>410</v>
      </c>
      <c r="S13" s="639">
        <v>2.1</v>
      </c>
      <c r="T13" s="698" t="s">
        <v>410</v>
      </c>
      <c r="U13" s="639">
        <v>2.1</v>
      </c>
      <c r="V13" s="698" t="s">
        <v>410</v>
      </c>
      <c r="W13" s="639">
        <v>2.1</v>
      </c>
      <c r="X13" s="698" t="s">
        <v>410</v>
      </c>
      <c r="Y13" s="639">
        <v>2.1</v>
      </c>
      <c r="Z13" s="698" t="s">
        <v>410</v>
      </c>
      <c r="AA13" s="639">
        <v>2.1</v>
      </c>
      <c r="AB13" s="698" t="s">
        <v>410</v>
      </c>
      <c r="AC13" s="639">
        <v>2.1</v>
      </c>
      <c r="AD13" s="698" t="s">
        <v>410</v>
      </c>
      <c r="AE13" s="639">
        <v>2.1</v>
      </c>
      <c r="AF13" s="825" t="s">
        <v>410</v>
      </c>
      <c r="AG13" s="271" t="s">
        <v>280</v>
      </c>
      <c r="AI13" s="280"/>
      <c r="AJ13" s="280"/>
      <c r="AK13" s="280"/>
      <c r="AL13" s="280"/>
      <c r="AM13" s="280"/>
      <c r="AN13" s="280"/>
      <c r="AO13" s="280" t="s">
        <v>280</v>
      </c>
      <c r="AP13" s="280"/>
      <c r="AQ13" s="280"/>
      <c r="AR13" s="280"/>
      <c r="AS13" s="280"/>
      <c r="AT13" s="280"/>
      <c r="AU13" s="280"/>
      <c r="AV13" s="280"/>
      <c r="AW13" s="527" t="s">
        <v>449</v>
      </c>
      <c r="AX13" s="364" t="s">
        <v>292</v>
      </c>
      <c r="AY13" s="630">
        <f>((185*10^6)/'General values'!$M$24/'General values'!$N$8)*(10^-6)</f>
        <v>184.51500356286545</v>
      </c>
      <c r="AZ13" s="825" t="s">
        <v>446</v>
      </c>
      <c r="BA13" s="280" t="s">
        <v>280</v>
      </c>
      <c r="BB13" s="280"/>
      <c r="BC13" s="527" t="s">
        <v>450</v>
      </c>
      <c r="BD13" s="364" t="s">
        <v>292</v>
      </c>
      <c r="BE13" s="630">
        <f>460/'General values'!M24/'General values'!N17</f>
        <v>411.86886940820682</v>
      </c>
      <c r="BF13" s="825" t="s">
        <v>161</v>
      </c>
      <c r="BG13" s="2" t="s">
        <v>280</v>
      </c>
    </row>
    <row r="14" spans="1:59" ht="18">
      <c r="A14" s="632" t="s">
        <v>451</v>
      </c>
      <c r="B14" s="364" t="s">
        <v>452</v>
      </c>
      <c r="C14" s="831">
        <v>16000</v>
      </c>
      <c r="D14" s="828" t="s">
        <v>453</v>
      </c>
      <c r="E14" s="831">
        <v>16000</v>
      </c>
      <c r="F14" s="828" t="s">
        <v>453</v>
      </c>
      <c r="G14" s="831">
        <v>16000</v>
      </c>
      <c r="H14" s="828" t="s">
        <v>453</v>
      </c>
      <c r="I14" s="831">
        <v>16000</v>
      </c>
      <c r="J14" s="828" t="s">
        <v>453</v>
      </c>
      <c r="K14" s="831">
        <v>16000</v>
      </c>
      <c r="L14" s="828" t="s">
        <v>453</v>
      </c>
      <c r="M14" s="831">
        <v>16000</v>
      </c>
      <c r="N14" s="828" t="s">
        <v>453</v>
      </c>
      <c r="O14" s="831">
        <v>16000</v>
      </c>
      <c r="P14" s="828" t="s">
        <v>453</v>
      </c>
      <c r="Q14" s="831">
        <v>16000</v>
      </c>
      <c r="R14" s="828" t="s">
        <v>453</v>
      </c>
      <c r="S14" s="831">
        <v>16000</v>
      </c>
      <c r="T14" s="828" t="s">
        <v>453</v>
      </c>
      <c r="U14" s="831">
        <v>16000</v>
      </c>
      <c r="V14" s="828" t="s">
        <v>453</v>
      </c>
      <c r="W14" s="831">
        <v>16000</v>
      </c>
      <c r="X14" s="828" t="s">
        <v>453</v>
      </c>
      <c r="Y14" s="831">
        <v>16000</v>
      </c>
      <c r="Z14" s="828" t="s">
        <v>453</v>
      </c>
      <c r="AA14" s="831">
        <v>16000</v>
      </c>
      <c r="AB14" s="828" t="s">
        <v>453</v>
      </c>
      <c r="AC14" s="831">
        <v>16000</v>
      </c>
      <c r="AD14" s="828" t="s">
        <v>453</v>
      </c>
      <c r="AE14" s="831">
        <v>16000</v>
      </c>
      <c r="AF14" s="832" t="s">
        <v>453</v>
      </c>
      <c r="AG14" s="271" t="s">
        <v>280</v>
      </c>
      <c r="AW14" s="36" t="s">
        <v>454</v>
      </c>
      <c r="AX14" t="s">
        <v>455</v>
      </c>
      <c r="AY14" s="106">
        <f>2200</f>
        <v>2200</v>
      </c>
      <c r="AZ14" s="43" t="s">
        <v>446</v>
      </c>
      <c r="BA14" s="2" t="s">
        <v>280</v>
      </c>
      <c r="BC14" s="49" t="s">
        <v>456</v>
      </c>
      <c r="BD14" s="133" t="s">
        <v>455</v>
      </c>
      <c r="BE14" s="134">
        <f>(1500*1000)/365</f>
        <v>4109.58904109589</v>
      </c>
      <c r="BF14" s="136" t="s">
        <v>161</v>
      </c>
      <c r="BG14" s="2" t="s">
        <v>280</v>
      </c>
    </row>
    <row r="15" spans="1:59" ht="18">
      <c r="A15" s="527" t="s">
        <v>202</v>
      </c>
      <c r="B15" s="364" t="s">
        <v>160</v>
      </c>
      <c r="C15" s="630">
        <v>0.06</v>
      </c>
      <c r="D15" s="698" t="s">
        <v>457</v>
      </c>
      <c r="E15" s="630">
        <v>0.06</v>
      </c>
      <c r="F15" s="698" t="s">
        <v>457</v>
      </c>
      <c r="G15" s="630">
        <v>0.06</v>
      </c>
      <c r="H15" s="698" t="s">
        <v>457</v>
      </c>
      <c r="I15" s="630">
        <v>0.06</v>
      </c>
      <c r="J15" s="698" t="s">
        <v>457</v>
      </c>
      <c r="K15" s="630">
        <v>0.06</v>
      </c>
      <c r="L15" s="698" t="s">
        <v>457</v>
      </c>
      <c r="M15" s="630">
        <v>0.06</v>
      </c>
      <c r="N15" s="698" t="s">
        <v>457</v>
      </c>
      <c r="O15" s="630">
        <v>0.06</v>
      </c>
      <c r="P15" s="698" t="s">
        <v>457</v>
      </c>
      <c r="Q15" s="630">
        <v>0.06</v>
      </c>
      <c r="R15" s="698" t="s">
        <v>457</v>
      </c>
      <c r="S15" s="630">
        <v>0.06</v>
      </c>
      <c r="T15" s="698" t="s">
        <v>457</v>
      </c>
      <c r="U15" s="630">
        <v>0.06</v>
      </c>
      <c r="V15" s="698" t="s">
        <v>457</v>
      </c>
      <c r="W15" s="630">
        <v>0.06</v>
      </c>
      <c r="X15" s="698" t="s">
        <v>457</v>
      </c>
      <c r="Y15" s="630">
        <v>0.06</v>
      </c>
      <c r="Z15" s="698" t="s">
        <v>457</v>
      </c>
      <c r="AA15" s="630">
        <v>0.06</v>
      </c>
      <c r="AB15" s="698" t="s">
        <v>457</v>
      </c>
      <c r="AC15" s="630">
        <v>0.06</v>
      </c>
      <c r="AD15" s="698" t="s">
        <v>457</v>
      </c>
      <c r="AE15" s="630">
        <v>0.06</v>
      </c>
      <c r="AF15" s="825" t="s">
        <v>457</v>
      </c>
      <c r="AG15" s="271" t="s">
        <v>280</v>
      </c>
      <c r="AW15" s="36" t="s">
        <v>458</v>
      </c>
      <c r="AX15" t="s">
        <v>459</v>
      </c>
      <c r="AY15" s="35">
        <v>17.03</v>
      </c>
      <c r="AZ15" s="43" t="s">
        <v>460</v>
      </c>
      <c r="BA15" s="2" t="s">
        <v>280</v>
      </c>
    </row>
    <row r="16" spans="1:59" ht="18">
      <c r="A16" s="632" t="s">
        <v>206</v>
      </c>
      <c r="B16" s="364" t="s">
        <v>207</v>
      </c>
      <c r="C16" s="831">
        <v>15</v>
      </c>
      <c r="D16" s="698" t="s">
        <v>410</v>
      </c>
      <c r="E16" s="831">
        <v>15</v>
      </c>
      <c r="F16" s="698" t="s">
        <v>410</v>
      </c>
      <c r="G16" s="831">
        <v>15</v>
      </c>
      <c r="H16" s="698" t="s">
        <v>410</v>
      </c>
      <c r="I16" s="831">
        <v>15</v>
      </c>
      <c r="J16" s="698" t="s">
        <v>410</v>
      </c>
      <c r="K16" s="831">
        <v>15</v>
      </c>
      <c r="L16" s="698" t="s">
        <v>410</v>
      </c>
      <c r="M16" s="831">
        <v>15</v>
      </c>
      <c r="N16" s="698" t="s">
        <v>410</v>
      </c>
      <c r="O16" s="831">
        <v>15</v>
      </c>
      <c r="P16" s="698" t="s">
        <v>410</v>
      </c>
      <c r="Q16" s="831">
        <v>15</v>
      </c>
      <c r="R16" s="698" t="s">
        <v>410</v>
      </c>
      <c r="S16" s="831">
        <v>15</v>
      </c>
      <c r="T16" s="698" t="s">
        <v>410</v>
      </c>
      <c r="U16" s="831">
        <v>15</v>
      </c>
      <c r="V16" s="698" t="s">
        <v>410</v>
      </c>
      <c r="W16" s="831">
        <v>15</v>
      </c>
      <c r="X16" s="698" t="s">
        <v>410</v>
      </c>
      <c r="Y16" s="831">
        <v>15</v>
      </c>
      <c r="Z16" s="698" t="s">
        <v>410</v>
      </c>
      <c r="AA16" s="831">
        <v>15</v>
      </c>
      <c r="AB16" s="698" t="s">
        <v>410</v>
      </c>
      <c r="AC16" s="831">
        <v>15</v>
      </c>
      <c r="AD16" s="698" t="s">
        <v>410</v>
      </c>
      <c r="AE16" s="831">
        <v>15</v>
      </c>
      <c r="AF16" s="825" t="s">
        <v>410</v>
      </c>
      <c r="AG16" s="271" t="s">
        <v>280</v>
      </c>
      <c r="AW16" s="36" t="s">
        <v>461</v>
      </c>
      <c r="AX16" t="s">
        <v>459</v>
      </c>
      <c r="AY16" s="35">
        <v>2.016</v>
      </c>
      <c r="AZ16" s="43" t="s">
        <v>460</v>
      </c>
      <c r="BA16" s="2" t="s">
        <v>280</v>
      </c>
    </row>
    <row r="17" spans="1:53" ht="18">
      <c r="A17" s="527" t="s">
        <v>211</v>
      </c>
      <c r="B17" s="364" t="s">
        <v>160</v>
      </c>
      <c r="C17" s="833">
        <v>0.08</v>
      </c>
      <c r="D17" s="698" t="s">
        <v>410</v>
      </c>
      <c r="E17" s="833">
        <v>0.08</v>
      </c>
      <c r="F17" s="698" t="s">
        <v>410</v>
      </c>
      <c r="G17" s="834">
        <v>0.08</v>
      </c>
      <c r="H17" s="698" t="s">
        <v>410</v>
      </c>
      <c r="I17" s="834">
        <v>0.08</v>
      </c>
      <c r="J17" s="698" t="s">
        <v>410</v>
      </c>
      <c r="K17" s="834">
        <v>0.08</v>
      </c>
      <c r="L17" s="698" t="s">
        <v>410</v>
      </c>
      <c r="M17" s="834">
        <v>0.08</v>
      </c>
      <c r="N17" s="698" t="s">
        <v>410</v>
      </c>
      <c r="O17" s="834">
        <v>0.08</v>
      </c>
      <c r="P17" s="698" t="s">
        <v>410</v>
      </c>
      <c r="Q17" s="834">
        <v>0.08</v>
      </c>
      <c r="R17" s="698" t="s">
        <v>410</v>
      </c>
      <c r="S17" s="834">
        <v>0.08</v>
      </c>
      <c r="T17" s="698" t="s">
        <v>410</v>
      </c>
      <c r="U17" s="834">
        <v>0.08</v>
      </c>
      <c r="V17" s="698" t="s">
        <v>410</v>
      </c>
      <c r="W17" s="834">
        <v>0.08</v>
      </c>
      <c r="X17" s="698" t="s">
        <v>410</v>
      </c>
      <c r="Y17" s="834">
        <v>0.08</v>
      </c>
      <c r="Z17" s="698" t="s">
        <v>410</v>
      </c>
      <c r="AA17" s="834">
        <v>0.08</v>
      </c>
      <c r="AB17" s="698" t="s">
        <v>410</v>
      </c>
      <c r="AC17" s="834">
        <v>0.08</v>
      </c>
      <c r="AD17" s="698" t="s">
        <v>410</v>
      </c>
      <c r="AE17" s="834">
        <v>0.08</v>
      </c>
      <c r="AF17" s="825" t="s">
        <v>410</v>
      </c>
      <c r="AG17" s="271" t="s">
        <v>280</v>
      </c>
      <c r="AW17" s="49" t="s">
        <v>462</v>
      </c>
      <c r="AX17" s="133" t="s">
        <v>459</v>
      </c>
      <c r="AY17" s="138">
        <v>28.01</v>
      </c>
      <c r="AZ17" s="136" t="s">
        <v>460</v>
      </c>
      <c r="BA17" s="2" t="s">
        <v>280</v>
      </c>
    </row>
    <row r="18" spans="1:53" ht="18">
      <c r="A18" s="527" t="s">
        <v>463</v>
      </c>
      <c r="B18" s="364" t="s">
        <v>160</v>
      </c>
      <c r="C18" s="639">
        <v>0.8</v>
      </c>
      <c r="D18" s="698" t="s">
        <v>464</v>
      </c>
      <c r="E18" s="639">
        <v>0.8</v>
      </c>
      <c r="F18" s="698" t="s">
        <v>464</v>
      </c>
      <c r="G18" s="639">
        <v>0.8</v>
      </c>
      <c r="H18" s="698" t="s">
        <v>464</v>
      </c>
      <c r="I18" s="639">
        <v>0.8</v>
      </c>
      <c r="J18" s="698" t="s">
        <v>464</v>
      </c>
      <c r="K18" s="639">
        <v>0.8</v>
      </c>
      <c r="L18" s="698" t="s">
        <v>464</v>
      </c>
      <c r="M18" s="639">
        <v>0.8</v>
      </c>
      <c r="N18" s="698" t="s">
        <v>464</v>
      </c>
      <c r="O18" s="639">
        <v>0.8</v>
      </c>
      <c r="P18" s="698" t="s">
        <v>464</v>
      </c>
      <c r="Q18" s="639">
        <v>0.8</v>
      </c>
      <c r="R18" s="698" t="s">
        <v>464</v>
      </c>
      <c r="S18" s="639">
        <v>0.8</v>
      </c>
      <c r="T18" s="698" t="s">
        <v>464</v>
      </c>
      <c r="U18" s="639">
        <v>0.8</v>
      </c>
      <c r="V18" s="698" t="s">
        <v>464</v>
      </c>
      <c r="W18" s="639">
        <v>0.8</v>
      </c>
      <c r="X18" s="698" t="s">
        <v>464</v>
      </c>
      <c r="Y18" s="639">
        <v>0.8</v>
      </c>
      <c r="Z18" s="698" t="s">
        <v>464</v>
      </c>
      <c r="AA18" s="639">
        <v>0.8</v>
      </c>
      <c r="AB18" s="698" t="s">
        <v>464</v>
      </c>
      <c r="AC18" s="639">
        <v>0.8</v>
      </c>
      <c r="AD18" s="698" t="s">
        <v>464</v>
      </c>
      <c r="AE18" s="639">
        <v>0.8</v>
      </c>
      <c r="AF18" s="825" t="s">
        <v>464</v>
      </c>
      <c r="AG18" s="271" t="s">
        <v>280</v>
      </c>
      <c r="BA18" s="2" t="s">
        <v>280</v>
      </c>
    </row>
    <row r="19" spans="1:53" ht="18">
      <c r="A19" s="527" t="s">
        <v>229</v>
      </c>
      <c r="B19" s="364" t="s">
        <v>160</v>
      </c>
      <c r="C19" s="639">
        <v>0.18</v>
      </c>
      <c r="D19" s="698" t="s">
        <v>464</v>
      </c>
      <c r="E19" s="639">
        <v>0.18</v>
      </c>
      <c r="F19" s="698" t="s">
        <v>464</v>
      </c>
      <c r="G19" s="639">
        <v>0.18</v>
      </c>
      <c r="H19" s="698" t="s">
        <v>464</v>
      </c>
      <c r="I19" s="639">
        <v>0.18</v>
      </c>
      <c r="J19" s="698" t="s">
        <v>464</v>
      </c>
      <c r="K19" s="639">
        <v>0.18</v>
      </c>
      <c r="L19" s="698" t="s">
        <v>464</v>
      </c>
      <c r="M19" s="639">
        <v>0.18</v>
      </c>
      <c r="N19" s="698" t="s">
        <v>464</v>
      </c>
      <c r="O19" s="639">
        <v>0.18</v>
      </c>
      <c r="P19" s="698" t="s">
        <v>464</v>
      </c>
      <c r="Q19" s="639">
        <v>0.18</v>
      </c>
      <c r="R19" s="698" t="s">
        <v>464</v>
      </c>
      <c r="S19" s="639">
        <v>0.18</v>
      </c>
      <c r="T19" s="698" t="s">
        <v>464</v>
      </c>
      <c r="U19" s="639">
        <v>0.18</v>
      </c>
      <c r="V19" s="698" t="s">
        <v>464</v>
      </c>
      <c r="W19" s="639">
        <v>0.18</v>
      </c>
      <c r="X19" s="698" t="s">
        <v>464</v>
      </c>
      <c r="Y19" s="639">
        <v>0.18</v>
      </c>
      <c r="Z19" s="698" t="s">
        <v>464</v>
      </c>
      <c r="AA19" s="639">
        <v>0.18</v>
      </c>
      <c r="AB19" s="698" t="s">
        <v>464</v>
      </c>
      <c r="AC19" s="639">
        <v>0.18</v>
      </c>
      <c r="AD19" s="698" t="s">
        <v>464</v>
      </c>
      <c r="AE19" s="639">
        <v>0.18</v>
      </c>
      <c r="AF19" s="825" t="s">
        <v>464</v>
      </c>
      <c r="AG19" s="271" t="s">
        <v>280</v>
      </c>
      <c r="BA19" s="2" t="s">
        <v>280</v>
      </c>
    </row>
    <row r="20" spans="1:53" ht="18">
      <c r="A20" s="527" t="s">
        <v>465</v>
      </c>
      <c r="B20" s="364" t="s">
        <v>466</v>
      </c>
      <c r="C20" s="835">
        <f>1164/'General values'!$N$15</f>
        <v>1254.5592000000001</v>
      </c>
      <c r="D20" s="698" t="s">
        <v>464</v>
      </c>
      <c r="E20" s="835">
        <f>1164/'General values'!$N$15</f>
        <v>1254.5592000000001</v>
      </c>
      <c r="F20" s="698" t="s">
        <v>464</v>
      </c>
      <c r="G20" s="835">
        <f>1164/'General values'!$N$15</f>
        <v>1254.5592000000001</v>
      </c>
      <c r="H20" s="698" t="s">
        <v>464</v>
      </c>
      <c r="I20" s="835">
        <f>1164/'General values'!$N$15</f>
        <v>1254.5592000000001</v>
      </c>
      <c r="J20" s="698" t="s">
        <v>464</v>
      </c>
      <c r="K20" s="835">
        <f>1164/'General values'!$N$15</f>
        <v>1254.5592000000001</v>
      </c>
      <c r="L20" s="698" t="s">
        <v>464</v>
      </c>
      <c r="M20" s="835">
        <f>1164/'General values'!$N$15</f>
        <v>1254.5592000000001</v>
      </c>
      <c r="N20" s="698" t="s">
        <v>464</v>
      </c>
      <c r="O20" s="835">
        <f>1164/'General values'!$N$15</f>
        <v>1254.5592000000001</v>
      </c>
      <c r="P20" s="698" t="s">
        <v>464</v>
      </c>
      <c r="Q20" s="835">
        <f>1164/'General values'!$N$15</f>
        <v>1254.5592000000001</v>
      </c>
      <c r="R20" s="698" t="s">
        <v>464</v>
      </c>
      <c r="S20" s="835">
        <f>1164/'General values'!$N$15</f>
        <v>1254.5592000000001</v>
      </c>
      <c r="T20" s="698" t="s">
        <v>464</v>
      </c>
      <c r="U20" s="835">
        <f>1164/'General values'!$N$15</f>
        <v>1254.5592000000001</v>
      </c>
      <c r="V20" s="698" t="s">
        <v>464</v>
      </c>
      <c r="W20" s="835">
        <f>1164/'General values'!$N$15</f>
        <v>1254.5592000000001</v>
      </c>
      <c r="X20" s="698" t="s">
        <v>464</v>
      </c>
      <c r="Y20" s="835">
        <f>1164/'General values'!$N$15</f>
        <v>1254.5592000000001</v>
      </c>
      <c r="Z20" s="698" t="s">
        <v>464</v>
      </c>
      <c r="AA20" s="835">
        <f>1164/'General values'!$N$15</f>
        <v>1254.5592000000001</v>
      </c>
      <c r="AB20" s="698" t="s">
        <v>464</v>
      </c>
      <c r="AC20" s="835">
        <f>1164/'General values'!$N$15</f>
        <v>1254.5592000000001</v>
      </c>
      <c r="AD20" s="698" t="s">
        <v>464</v>
      </c>
      <c r="AE20" s="835">
        <f>1164/'General values'!$N$15</f>
        <v>1254.5592000000001</v>
      </c>
      <c r="AF20" s="825" t="s">
        <v>464</v>
      </c>
      <c r="AG20" s="271" t="s">
        <v>280</v>
      </c>
    </row>
    <row r="21" spans="1:53" ht="18">
      <c r="A21" s="527" t="s">
        <v>467</v>
      </c>
      <c r="B21" s="364" t="s">
        <v>452</v>
      </c>
      <c r="C21" s="639">
        <v>4000</v>
      </c>
      <c r="D21" s="698" t="s">
        <v>464</v>
      </c>
      <c r="E21" s="639">
        <v>4000</v>
      </c>
      <c r="F21" s="698" t="s">
        <v>464</v>
      </c>
      <c r="G21" s="639">
        <v>4000</v>
      </c>
      <c r="H21" s="698" t="s">
        <v>464</v>
      </c>
      <c r="I21" s="639">
        <v>4000</v>
      </c>
      <c r="J21" s="698" t="s">
        <v>464</v>
      </c>
      <c r="K21" s="639">
        <v>4000</v>
      </c>
      <c r="L21" s="698" t="s">
        <v>464</v>
      </c>
      <c r="M21" s="639">
        <v>4000</v>
      </c>
      <c r="N21" s="698" t="s">
        <v>464</v>
      </c>
      <c r="O21" s="639">
        <v>4000</v>
      </c>
      <c r="P21" s="698" t="s">
        <v>464</v>
      </c>
      <c r="Q21" s="639">
        <v>4000</v>
      </c>
      <c r="R21" s="698" t="s">
        <v>464</v>
      </c>
      <c r="S21" s="639">
        <v>4000</v>
      </c>
      <c r="T21" s="698" t="s">
        <v>464</v>
      </c>
      <c r="U21" s="639">
        <v>4000</v>
      </c>
      <c r="V21" s="698" t="s">
        <v>464</v>
      </c>
      <c r="W21" s="639">
        <v>4000</v>
      </c>
      <c r="X21" s="698" t="s">
        <v>464</v>
      </c>
      <c r="Y21" s="639">
        <v>4000</v>
      </c>
      <c r="Z21" s="698" t="s">
        <v>464</v>
      </c>
      <c r="AA21" s="639">
        <v>4000</v>
      </c>
      <c r="AB21" s="698" t="s">
        <v>464</v>
      </c>
      <c r="AC21" s="639">
        <v>4000</v>
      </c>
      <c r="AD21" s="698" t="s">
        <v>464</v>
      </c>
      <c r="AE21" s="639">
        <v>4000</v>
      </c>
      <c r="AF21" s="825" t="s">
        <v>464</v>
      </c>
      <c r="AG21" s="271" t="s">
        <v>280</v>
      </c>
    </row>
    <row r="22" spans="1:53" ht="18">
      <c r="A22" s="527" t="s">
        <v>468</v>
      </c>
      <c r="B22" s="364" t="s">
        <v>59</v>
      </c>
      <c r="C22" s="639">
        <v>200</v>
      </c>
      <c r="D22" s="698" t="s">
        <v>464</v>
      </c>
      <c r="E22" s="639">
        <v>200</v>
      </c>
      <c r="F22" s="698" t="s">
        <v>464</v>
      </c>
      <c r="G22" s="639">
        <v>200</v>
      </c>
      <c r="H22" s="698" t="s">
        <v>464</v>
      </c>
      <c r="I22" s="639">
        <v>200</v>
      </c>
      <c r="J22" s="698" t="s">
        <v>464</v>
      </c>
      <c r="K22" s="639">
        <v>200</v>
      </c>
      <c r="L22" s="698" t="s">
        <v>464</v>
      </c>
      <c r="M22" s="639">
        <v>200</v>
      </c>
      <c r="N22" s="698" t="s">
        <v>464</v>
      </c>
      <c r="O22" s="639">
        <v>200</v>
      </c>
      <c r="P22" s="698" t="s">
        <v>464</v>
      </c>
      <c r="Q22" s="639">
        <v>200</v>
      </c>
      <c r="R22" s="698" t="s">
        <v>464</v>
      </c>
      <c r="S22" s="639">
        <v>200</v>
      </c>
      <c r="T22" s="698" t="s">
        <v>464</v>
      </c>
      <c r="U22" s="639">
        <v>200</v>
      </c>
      <c r="V22" s="698" t="s">
        <v>464</v>
      </c>
      <c r="W22" s="639">
        <v>200</v>
      </c>
      <c r="X22" s="698" t="s">
        <v>464</v>
      </c>
      <c r="Y22" s="639">
        <v>200</v>
      </c>
      <c r="Z22" s="698" t="s">
        <v>464</v>
      </c>
      <c r="AA22" s="639">
        <v>200</v>
      </c>
      <c r="AB22" s="698" t="s">
        <v>464</v>
      </c>
      <c r="AC22" s="639">
        <v>200</v>
      </c>
      <c r="AD22" s="698" t="s">
        <v>464</v>
      </c>
      <c r="AE22" s="639">
        <v>200</v>
      </c>
      <c r="AF22" s="825" t="s">
        <v>464</v>
      </c>
      <c r="AG22" s="271" t="s">
        <v>280</v>
      </c>
    </row>
    <row r="23" spans="1:53">
      <c r="A23" s="545"/>
      <c r="B23" s="546"/>
      <c r="C23" s="644"/>
      <c r="D23" s="546"/>
      <c r="E23" s="644"/>
      <c r="F23" s="546"/>
      <c r="G23" s="546"/>
      <c r="H23" s="836"/>
      <c r="I23" s="546"/>
      <c r="J23" s="836"/>
      <c r="K23" s="546"/>
      <c r="L23" s="836"/>
      <c r="M23" s="546"/>
      <c r="N23" s="836"/>
      <c r="O23" s="546"/>
      <c r="P23" s="546"/>
      <c r="Q23" s="546"/>
      <c r="R23" s="546"/>
      <c r="S23" s="546"/>
      <c r="T23" s="546"/>
      <c r="U23" s="546"/>
      <c r="V23" s="546"/>
      <c r="W23" s="546"/>
      <c r="X23" s="546"/>
      <c r="Y23" s="546"/>
      <c r="Z23" s="546"/>
      <c r="AA23" s="546"/>
      <c r="AB23" s="546"/>
      <c r="AC23" s="546"/>
      <c r="AD23" s="546"/>
      <c r="AE23" s="546"/>
      <c r="AF23" s="837"/>
      <c r="AG23" s="271" t="s">
        <v>280</v>
      </c>
    </row>
    <row r="27" spans="1:53">
      <c r="A27" s="52" t="s">
        <v>469</v>
      </c>
    </row>
    <row r="28" spans="1:53">
      <c r="A28" s="275" t="s">
        <v>470</v>
      </c>
    </row>
    <row r="29" spans="1:53">
      <c r="A29" s="276" t="s">
        <v>471</v>
      </c>
    </row>
    <row r="37" spans="17:17">
      <c r="Q37" s="173"/>
    </row>
  </sheetData>
  <sheetProtection algorithmName="SHA-512" hashValue="lQvvwwzJ2ILdgvUZMBrf61LuNGixLAQBX7IwBz0qPKGoYGsiIWITh7yS/Kx0v6ZR0qL5e58CTdZr1JDnUHaP3w==" saltValue="hVQh2fuv050kCLIm1EL6aw==" spinCount="100000" sheet="1" objects="1" scenarios="1"/>
  <mergeCells count="23">
    <mergeCell ref="E2:F2"/>
    <mergeCell ref="BE1:BF1"/>
    <mergeCell ref="C1:L1"/>
    <mergeCell ref="O1:AF1"/>
    <mergeCell ref="C2:D2"/>
    <mergeCell ref="G2:H2"/>
    <mergeCell ref="I2:J2"/>
    <mergeCell ref="K2:L2"/>
    <mergeCell ref="O2:P2"/>
    <mergeCell ref="AC2:AD2"/>
    <mergeCell ref="AE2:AF2"/>
    <mergeCell ref="Q2:R2"/>
    <mergeCell ref="S2:T2"/>
    <mergeCell ref="U2:V2"/>
    <mergeCell ref="W2:X2"/>
    <mergeCell ref="Y2:Z2"/>
    <mergeCell ref="M2:N2"/>
    <mergeCell ref="AY1:AZ1"/>
    <mergeCell ref="AA2:AB2"/>
    <mergeCell ref="AK2:AL2"/>
    <mergeCell ref="AM2:AN2"/>
    <mergeCell ref="AK1:AN1"/>
    <mergeCell ref="AS1:AT1"/>
  </mergeCells>
  <phoneticPr fontId="11" type="noConversion"/>
  <hyperlinks>
    <hyperlink ref="BF4" r:id="rId1" xr:uid="{707BC411-2A94-43F5-B89F-8970CE4374E4}"/>
    <hyperlink ref="BF7" r:id="rId2" xr:uid="{79907913-C70A-49FB-A466-4DD67DB9CA86}"/>
    <hyperlink ref="BF8" r:id="rId3" xr:uid="{6DD04901-1E40-4A73-8E40-53B6E7305D34}"/>
    <hyperlink ref="BF9" r:id="rId4" xr:uid="{D0F4E247-1B1B-4BDA-9862-62CF9842D491}"/>
    <hyperlink ref="BF10" r:id="rId5" xr:uid="{B01465F0-CF0E-4B8C-9B2D-AFDCD7FA239D}"/>
    <hyperlink ref="BF11" r:id="rId6" xr:uid="{F26D39A7-5370-43ED-B97C-333FE2642358}"/>
    <hyperlink ref="BF13" r:id="rId7" xr:uid="{A1109852-573D-4CE5-86BA-7041A5169A01}"/>
    <hyperlink ref="BF14" r:id="rId8" xr:uid="{A60AE286-4F06-496D-ABE5-D6347D253E76}"/>
    <hyperlink ref="BF12" r:id="rId9" xr:uid="{BBEF022B-21AA-4906-B7D2-1231356F702C}"/>
    <hyperlink ref="BF5" r:id="rId10" xr:uid="{49E6AEF3-B0CB-411D-A152-22688E8AF414}"/>
    <hyperlink ref="BF6" r:id="rId11" xr:uid="{410CBAA3-4A3F-48F4-B51C-C56EABAC1B57}"/>
    <hyperlink ref="AL5" r:id="rId12" xr:uid="{37259ACB-E433-44FC-9785-0BE0B21AEBA9}"/>
    <hyperlink ref="AL6" r:id="rId13" xr:uid="{1D9E13B2-71B2-4B7C-8908-6E9B566BF112}"/>
    <hyperlink ref="AL7" r:id="rId14" xr:uid="{4BF9C78C-52F3-41AC-91B5-B89ABDB19489}"/>
    <hyperlink ref="AL8" r:id="rId15" xr:uid="{DB6F5E95-2340-45DA-8B43-5408358331C9}"/>
    <hyperlink ref="AL9" r:id="rId16" xr:uid="{FFEC6F22-913C-4249-B3BE-2E29B184E2A3}"/>
    <hyperlink ref="AL10" r:id="rId17" xr:uid="{3929EBB3-9CEA-4D9C-90BC-47560F8F1FC2}"/>
    <hyperlink ref="AL11" r:id="rId18" xr:uid="{11526EC5-7F56-4FB3-AD16-34EB9FBBBA22}"/>
    <hyperlink ref="AL12" r:id="rId19" xr:uid="{DEFA00A0-DFF6-4085-BFC1-F87312B3A099}"/>
    <hyperlink ref="AN12" r:id="rId20" xr:uid="{8A996F43-2298-455D-B3E5-A5300E567D95}"/>
    <hyperlink ref="AN5" r:id="rId21" xr:uid="{EC9C6753-B5E6-4323-AEA8-C39D91F916B4}"/>
    <hyperlink ref="AN6" r:id="rId22" xr:uid="{F7665B7E-886F-49E1-916A-5534057A1992}"/>
    <hyperlink ref="AN7" r:id="rId23" xr:uid="{745F02DE-E462-464E-AEA9-116266F122B8}"/>
    <hyperlink ref="AN8" r:id="rId24" xr:uid="{F3257CD8-0537-46EA-8423-86609595BDBD}"/>
    <hyperlink ref="AN9" r:id="rId25" xr:uid="{5E70434C-3B2B-47BE-8EAD-A3FF3350E662}"/>
    <hyperlink ref="AN10" r:id="rId26" xr:uid="{3C68E20E-1665-494D-A0CA-AFE5B041A13E}"/>
    <hyperlink ref="AN11" r:id="rId27" xr:uid="{736F4FD9-65A0-46FB-86EB-577BA978AE48}"/>
    <hyperlink ref="AT4" r:id="rId28" xr:uid="{12255394-DBD5-47E9-8798-A13C2049634E}"/>
    <hyperlink ref="AT7" r:id="rId29" xr:uid="{48F26B61-183D-46AF-9A36-490031E2E43A}"/>
    <hyperlink ref="AT9" r:id="rId30" xr:uid="{B5F6F0CB-03FF-46A2-B6F4-10EA6839902F}"/>
    <hyperlink ref="AT8" r:id="rId31" xr:uid="{A3892C32-F6B4-4E35-AA3D-294D32D25AD3}"/>
    <hyperlink ref="AT6" r:id="rId32" xr:uid="{7980DC64-ED95-4350-9983-800911668EF5}"/>
    <hyperlink ref="AT10" r:id="rId33" xr:uid="{0F51DBBF-86F8-4D97-B661-313AFADA3815}"/>
    <hyperlink ref="AT11" r:id="rId34" xr:uid="{4F0FA5EA-AE09-401C-B94B-B9AC00ACF7CE}"/>
    <hyperlink ref="AT12" r:id="rId35" xr:uid="{29383ECA-F6E9-467E-BB18-05600FA16D4C}"/>
    <hyperlink ref="AZ8" r:id="rId36" xr:uid="{BFA5E399-33F6-42D2-91A6-022F28ADE35D}"/>
    <hyperlink ref="AZ7" r:id="rId37" xr:uid="{A3EBC58B-5DB1-4F22-AE8C-49CCA451E56A}"/>
    <hyperlink ref="AZ11" r:id="rId38" xr:uid="{EA67D2AD-84AE-4868-8419-193A1F6957F0}"/>
    <hyperlink ref="AZ12" r:id="rId39" xr:uid="{540FBD49-1902-40A5-9C33-08B1DA7B4C5B}"/>
    <hyperlink ref="AZ13" r:id="rId40" xr:uid="{7DC9E148-C5C5-4263-93CA-D65C1A2BFF41}"/>
    <hyperlink ref="AZ14" r:id="rId41" xr:uid="{EAFCC3CB-18C3-4044-84AC-EDC46B1C49A9}"/>
    <hyperlink ref="AZ15" r:id="rId42" xr:uid="{452D30BB-447B-4FED-A02B-2DDBC9B8DE94}"/>
    <hyperlink ref="AZ16" r:id="rId43" xr:uid="{FA5BA712-C1CA-42C6-80A6-E0D8C4DAC834}"/>
    <hyperlink ref="AZ17" r:id="rId44" xr:uid="{AF5AC52C-898B-4A8F-A2A1-1597E000BC7A}"/>
    <hyperlink ref="D10" r:id="rId45" display="Bertuccioli et al., 2014" xr:uid="{406935B4-A94D-4B12-B447-809AFB69032F}"/>
    <hyperlink ref="D11" r:id="rId46" display="The Transition Accelerator, 2021" xr:uid="{5FE157FD-6F9D-4801-B8C6-53CC2EAF2E80}"/>
    <hyperlink ref="D22" r:id="rId47" xr:uid="{7A3BFDBA-DE5C-4CF0-9ED1-8BF590E83CF9}"/>
    <hyperlink ref="D21" r:id="rId48" xr:uid="{6385AA37-4359-478B-AD3A-B183E96BBA4A}"/>
    <hyperlink ref="D20" r:id="rId49" xr:uid="{D2992B75-DCFE-4451-9ECA-51B43E00FF30}"/>
    <hyperlink ref="D19" r:id="rId50" xr:uid="{DC719993-D4C8-4D95-A19A-633D1642E592}"/>
    <hyperlink ref="D18" r:id="rId51" xr:uid="{5DCB0676-5AA1-4FB0-995A-361F3685A5A0}"/>
    <hyperlink ref="D17" r:id="rId52" display="The Transition Accelerator, 2021" xr:uid="{4969EC30-A37A-4E0F-919D-9E88348D3718}"/>
    <hyperlink ref="D16" r:id="rId53" display="The Transition Accelerator, 2021" xr:uid="{0248BB17-F082-4B92-A56B-C4318762ACD4}"/>
    <hyperlink ref="D15" r:id="rId54" xr:uid="{80CA392B-3A2E-4B9C-9108-47BC3986CB72}"/>
    <hyperlink ref="D14" r:id="rId55" xr:uid="{E33932D9-722A-4F46-868B-44A7E266D7D3}"/>
    <hyperlink ref="D13" r:id="rId56" display="The Transition Accelerator, 2021" xr:uid="{5CE4960A-C01B-443F-9A91-E9F5AE82DC74}"/>
    <hyperlink ref="D8" r:id="rId57" display="The Transition Accelerator, 2021" xr:uid="{862A0CB9-52A5-490F-BC02-2369BEC9B70F}"/>
    <hyperlink ref="D7" r:id="rId58" display="The Transition Accelerator, 2021" xr:uid="{85332164-9834-45AC-AF56-8701AF60FC1A}"/>
    <hyperlink ref="D6" r:id="rId59" display="The Transition Accelerator, 2021" xr:uid="{6C831EC2-3A89-4FE0-B2DB-0E5E01155C1D}"/>
    <hyperlink ref="D5" r:id="rId60" xr:uid="{E6CEF1A1-BBF5-4E4D-B0D7-ECC57F5C953F}"/>
    <hyperlink ref="H11" r:id="rId61" display="The Transition Accelerator, 2021" xr:uid="{7298DAAF-4125-432A-85DE-8EE31A38996B}"/>
    <hyperlink ref="H22" r:id="rId62" xr:uid="{2CC4E52E-EA7B-424E-A661-8401C9CB2549}"/>
    <hyperlink ref="H21" r:id="rId63" xr:uid="{BA457B1E-C8CD-4E21-A7D1-A08A818640BF}"/>
    <hyperlink ref="H20" r:id="rId64" xr:uid="{FCF77300-A749-419D-9EBD-D697C6F3093A}"/>
    <hyperlink ref="H19" r:id="rId65" xr:uid="{B15E07BF-D88A-4FE3-83DD-8B6E94273C39}"/>
    <hyperlink ref="H18" r:id="rId66" xr:uid="{01044147-4F17-4052-B4DE-71DC205199AC}"/>
    <hyperlink ref="H17" r:id="rId67" display="The Transition Accelerator, 2021" xr:uid="{3AF2DFD9-4123-4C52-A6AE-1BF9F7497BDC}"/>
    <hyperlink ref="H16" r:id="rId68" display="The Transition Accelerator, 2021" xr:uid="{403810BD-A35E-4EE7-86BC-0DB4D654BE80}"/>
    <hyperlink ref="H15" r:id="rId69" xr:uid="{4FA969CD-EC1B-472C-8691-67AF44126D11}"/>
    <hyperlink ref="H14" r:id="rId70" xr:uid="{674570D9-689B-486A-B6D6-6D0EB2BDD62D}"/>
    <hyperlink ref="H6" r:id="rId71" display="The Transition Accelerator, 2021" xr:uid="{D78B9B98-F892-42C4-95E3-5308BE91F9B9}"/>
    <hyperlink ref="H7" r:id="rId72" display="The Transition Accelerator, 2021" xr:uid="{164316B7-6953-49CC-A55E-C6BDF45E3910}"/>
    <hyperlink ref="H8" r:id="rId73" display="The Transition Accelerator, 2021" xr:uid="{D336B89D-BD21-46E2-B2DA-CBB8EFECB93E}"/>
    <hyperlink ref="H13" r:id="rId74" display="The Transition Accelerator, 2021" xr:uid="{1B63B9D9-C791-4BC4-9628-6762F19E3249}"/>
    <hyperlink ref="H5" r:id="rId75" xr:uid="{845CD7A8-3D5F-4550-ABDA-303B7F114B45}"/>
    <hyperlink ref="J11" r:id="rId76" display="The Transition Accelerator, 2021" xr:uid="{761C56E0-1216-4DBE-9B24-2348D92967B9}"/>
    <hyperlink ref="J22" r:id="rId77" xr:uid="{EE493B13-AA64-45EB-AEDA-104C1EDDBCDD}"/>
    <hyperlink ref="J21" r:id="rId78" xr:uid="{B495CFC5-51C7-4822-BCE6-13C27234D9E0}"/>
    <hyperlink ref="J20" r:id="rId79" xr:uid="{2A246E67-9B20-4652-8DF6-734514DFF218}"/>
    <hyperlink ref="J19" r:id="rId80" xr:uid="{48617506-D71A-46FF-9EEB-419D2ECCB45C}"/>
    <hyperlink ref="J18" r:id="rId81" xr:uid="{F386A34F-EABD-460D-9750-03C8C3411DE6}"/>
    <hyperlink ref="J17" r:id="rId82" display="The Transition Accelerator, 2021" xr:uid="{9729EC4A-4E8C-492E-94EC-D6C6C362AA13}"/>
    <hyperlink ref="J16" r:id="rId83" display="The Transition Accelerator, 2021" xr:uid="{5E515FD5-E6E4-4081-8B6B-F946C6B8DF04}"/>
    <hyperlink ref="J15" r:id="rId84" xr:uid="{603251AB-F803-4E4A-B884-87937E842718}"/>
    <hyperlink ref="J14" r:id="rId85" xr:uid="{B1DC6248-102E-45C3-866E-2C5726507E79}"/>
    <hyperlink ref="J13" r:id="rId86" display="The Transition Accelerator, 2021" xr:uid="{4BA2B71F-B974-4B97-BE0E-76E406821C79}"/>
    <hyperlink ref="J8" r:id="rId87" display="The Transition Accelerator, 2021" xr:uid="{D34915B0-5022-4783-B23E-551F2BA51A7B}"/>
    <hyperlink ref="J7" r:id="rId88" display="The Transition Accelerator, 2021" xr:uid="{627026F1-175A-4B2B-8450-FB98CD2E6D78}"/>
    <hyperlink ref="J6" r:id="rId89" display="The Transition Accelerator, 2021" xr:uid="{02B4CE86-2E62-4D83-BDF9-2B2116C2D99F}"/>
    <hyperlink ref="J5" r:id="rId90" xr:uid="{91461464-7573-4F37-9B48-F718BAB24006}"/>
    <hyperlink ref="L11" r:id="rId91" display="The Transition Accelerator, 2021" xr:uid="{589679A7-9FC8-4B17-8B6A-2D7FC59BF183}"/>
    <hyperlink ref="L22" r:id="rId92" xr:uid="{F51A289E-6B98-4F64-8D5B-66E4C64D5900}"/>
    <hyperlink ref="L21" r:id="rId93" xr:uid="{73671F38-BB92-4346-ADF0-FC0F3BC28133}"/>
    <hyperlink ref="L20" r:id="rId94" xr:uid="{50F6BE30-2008-4263-B20D-1639269B7DEF}"/>
    <hyperlink ref="L19" r:id="rId95" xr:uid="{C881C988-DBB0-4D6A-B201-1328075ABA4E}"/>
    <hyperlink ref="L18" r:id="rId96" xr:uid="{7EB7322B-B473-4F1A-BF34-B60C72BE6D3A}"/>
    <hyperlink ref="L17" r:id="rId97" display="The Transition Accelerator, 2021" xr:uid="{5D6D3FEA-A2A0-4E9C-90F9-E2206EB994C3}"/>
    <hyperlink ref="L16" r:id="rId98" display="The Transition Accelerator, 2021" xr:uid="{2E737FDF-29ED-44A2-BD27-F9BD4F2DF419}"/>
    <hyperlink ref="L15" r:id="rId99" xr:uid="{FF02E061-4480-4F5A-AE9C-7C8B722AF00F}"/>
    <hyperlink ref="L14" r:id="rId100" xr:uid="{D817A6B9-56CC-4B49-A77D-2AA6E67F1036}"/>
    <hyperlink ref="L6" r:id="rId101" display="The Transition Accelerator, 2021" xr:uid="{DDA4A805-C2E5-4E32-A6D2-6AE42C6EAFA3}"/>
    <hyperlink ref="L7" r:id="rId102" display="The Transition Accelerator, 2021" xr:uid="{DC362552-BD31-4D1B-98F4-E84A536CFEDC}"/>
    <hyperlink ref="L8" r:id="rId103" display="The Transition Accelerator, 2021" xr:uid="{A618F0A8-0433-4598-BA3C-3853DDE2B137}"/>
    <hyperlink ref="L13" r:id="rId104" display="The Transition Accelerator, 2021" xr:uid="{4C4F4C8D-6AC9-4C2A-82DD-D29D374CBD37}"/>
    <hyperlink ref="L5" r:id="rId105" xr:uid="{968732CE-5FB7-4EC4-94A2-B4C411D20ED4}"/>
    <hyperlink ref="P11" r:id="rId106" display="The Transition Accelerator, 2021" xr:uid="{C7FD521F-E8B5-4247-A350-4A03FB697F48}"/>
    <hyperlink ref="P22" r:id="rId107" xr:uid="{A7409FEC-CB5D-4388-ACED-D5495741E9FE}"/>
    <hyperlink ref="P21" r:id="rId108" xr:uid="{F1768BCE-C135-4FA9-B422-E164CA195ACF}"/>
    <hyperlink ref="P20" r:id="rId109" xr:uid="{CD7F78D0-DFCC-424D-B8EF-92BB15469265}"/>
    <hyperlink ref="P19" r:id="rId110" xr:uid="{17576FC4-9267-4601-A126-5773A149F7A0}"/>
    <hyperlink ref="P18" r:id="rId111" xr:uid="{B5F402EE-99CD-4123-A1B0-9D7FCC0D6EED}"/>
    <hyperlink ref="P17" r:id="rId112" display="The Transition Accelerator, 2021" xr:uid="{9118C004-22B3-4048-A544-B6ABB22EB63B}"/>
    <hyperlink ref="P16" r:id="rId113" display="The Transition Accelerator, 2021" xr:uid="{CF19330F-EF52-4094-887F-E643C35C2759}"/>
    <hyperlink ref="P15" r:id="rId114" xr:uid="{1230612B-00FB-4EA1-A6E8-479B7FEABBFC}"/>
    <hyperlink ref="P14" r:id="rId115" xr:uid="{E6CAEE1B-8837-4C31-BB49-A320856E4B1B}"/>
    <hyperlink ref="P13" r:id="rId116" display="The Transition Accelerator, 2021" xr:uid="{204329A0-B4D2-4F73-AB37-FD7279CAB59E}"/>
    <hyperlink ref="P8" r:id="rId117" xr:uid="{D771837F-1ADE-44F0-91B8-6F66C7D16378}"/>
    <hyperlink ref="P7" r:id="rId118" display="The Transition Accelerator, 2021" xr:uid="{B606B2D1-F880-4A0F-8F41-6ADA9A993E91}"/>
    <hyperlink ref="P6" r:id="rId119" display="The Transition Accelerator, 2021" xr:uid="{9CCBDCFC-ABCA-4365-8761-51D7A3C7D833}"/>
    <hyperlink ref="P5" r:id="rId120" xr:uid="{214948B9-6866-4D95-95EE-EA04DF0E4F5F}"/>
    <hyperlink ref="R22" r:id="rId121" xr:uid="{4E4D747F-C4A4-421D-A86A-67A31106EA2C}"/>
    <hyperlink ref="R21" r:id="rId122" xr:uid="{61782DF4-7BEE-45B0-B76E-83ACD9F04334}"/>
    <hyperlink ref="R20" r:id="rId123" xr:uid="{FD5EE5C6-1D99-43C7-892F-F51528DFECF5}"/>
    <hyperlink ref="R19" r:id="rId124" xr:uid="{04CD4F27-96D2-4D35-88F6-59626387E1E5}"/>
    <hyperlink ref="R18" r:id="rId125" xr:uid="{CA57F5CB-477D-4915-8389-B87727499403}"/>
    <hyperlink ref="R17" r:id="rId126" display="The Transition Accelerator, 2021" xr:uid="{27EB1063-5904-4CB7-B3BE-8BACA2F041DA}"/>
    <hyperlink ref="R16" r:id="rId127" display="The Transition Accelerator, 2021" xr:uid="{DB33660D-EE36-4DC2-B843-6B520AE31E07}"/>
    <hyperlink ref="R15" r:id="rId128" xr:uid="{490585DE-DA7F-43E2-8CA7-F02AC94E52F7}"/>
    <hyperlink ref="R14" r:id="rId129" xr:uid="{D973B6E0-C64B-45CD-B655-E426D79AF2A6}"/>
    <hyperlink ref="R7" r:id="rId130" display="The Transition Accelerator, 2021" xr:uid="{015B61E5-DCE0-4AB5-AAF4-E696DE89DADF}"/>
    <hyperlink ref="R13" r:id="rId131" display="The Transition Accelerator, 2021" xr:uid="{4E3CF0D8-BA35-43AC-960F-7AEFB97127B9}"/>
    <hyperlink ref="R5" r:id="rId132" xr:uid="{4F5D9F8B-7B48-491A-99C7-F3F050761E5A}"/>
    <hyperlink ref="R8" r:id="rId133" xr:uid="{25696CC8-F96C-4DEE-B163-ED09617C43FC}"/>
    <hyperlink ref="T22" r:id="rId134" xr:uid="{81CEFA21-3FC9-4AB0-BB43-9FF7D3A81634}"/>
    <hyperlink ref="T21" r:id="rId135" xr:uid="{C486B122-3EC1-498F-9A62-F07FCFFA2D48}"/>
    <hyperlink ref="T20" r:id="rId136" xr:uid="{2E2159D4-951C-4342-8D40-AEADFD98BAAC}"/>
    <hyperlink ref="T19" r:id="rId137" xr:uid="{97BCB21F-A872-4215-BD92-0AC5DB43BAC5}"/>
    <hyperlink ref="T18" r:id="rId138" xr:uid="{F3F30602-E6DB-47E5-9921-A920FEC1075F}"/>
    <hyperlink ref="T17" r:id="rId139" display="The Transition Accelerator, 2021" xr:uid="{D54B276C-9B96-476B-A092-D7B44BA5E5B1}"/>
    <hyperlink ref="T16" r:id="rId140" display="The Transition Accelerator, 2021" xr:uid="{7DD2520B-D098-4972-9A48-B5329166862B}"/>
    <hyperlink ref="T15" r:id="rId141" xr:uid="{08D21C50-A3ED-4C88-8A36-1324DB213ACA}"/>
    <hyperlink ref="T14" r:id="rId142" xr:uid="{351E712B-9761-415E-B712-14CF7A05AED0}"/>
    <hyperlink ref="T13" r:id="rId143" display="The Transition Accelerator, 2021" xr:uid="{C7B34DE0-78F2-4672-BBEA-7CC430CD03DD}"/>
    <hyperlink ref="T7" r:id="rId144" display="The Transition Accelerator, 2021" xr:uid="{3277AA0E-8311-41CF-AEF6-836C3ABDFA0A}"/>
    <hyperlink ref="T5" r:id="rId145" xr:uid="{0D928562-CD6F-41DF-9569-B881D1118FBD}"/>
    <hyperlink ref="T8" r:id="rId146" xr:uid="{3E5E56C7-C25C-432B-A6A0-47573ADB270B}"/>
    <hyperlink ref="V22" r:id="rId147" xr:uid="{EFF4156A-2E71-43BB-B373-2A46132050D6}"/>
    <hyperlink ref="V21" r:id="rId148" xr:uid="{184DBE03-D39A-42DB-8EFF-D1A9A2D39315}"/>
    <hyperlink ref="V20" r:id="rId149" xr:uid="{6E6FE332-C935-4944-8517-73FEFE0556FD}"/>
    <hyperlink ref="V19" r:id="rId150" xr:uid="{854E004F-8DC3-4E97-81DC-572C3BE9A34B}"/>
    <hyperlink ref="V18" r:id="rId151" xr:uid="{EA5AAE52-E451-4771-B8FE-B76B4C6CF931}"/>
    <hyperlink ref="V17" r:id="rId152" display="The Transition Accelerator, 2021" xr:uid="{4B745AA4-679E-4820-860A-4C9EFE25C865}"/>
    <hyperlink ref="V16" r:id="rId153" display="The Transition Accelerator, 2021" xr:uid="{201BF602-730E-4631-A109-B462A2BDCA7A}"/>
    <hyperlink ref="V15" r:id="rId154" xr:uid="{F774459F-9EC0-4217-930F-6F72C2EE9D08}"/>
    <hyperlink ref="V14" r:id="rId155" xr:uid="{BE0BE8AE-1F6B-4AA6-A55D-62F6C1163DB7}"/>
    <hyperlink ref="V7" r:id="rId156" xr:uid="{37AE9439-5062-4ED7-9FC3-9B2BC2547E30}"/>
    <hyperlink ref="V13" r:id="rId157" display="The Transition Accelerator, 2021" xr:uid="{3B86BED6-4489-45C7-92FC-AD126E29FEE9}"/>
    <hyperlink ref="V5" r:id="rId158" xr:uid="{F0B9902A-AB6C-40AA-9A7F-840D9DF6AAEF}"/>
    <hyperlink ref="V8" r:id="rId159" xr:uid="{58BC732A-11D7-48B4-81BE-EEF38C22BBBD}"/>
    <hyperlink ref="X22" r:id="rId160" xr:uid="{2788581A-F14E-4078-A3D7-EA16CB9B9657}"/>
    <hyperlink ref="X21" r:id="rId161" xr:uid="{2FBC4BEF-B164-4213-8211-798C176C393B}"/>
    <hyperlink ref="X20" r:id="rId162" xr:uid="{001199EB-987C-494C-B63C-322C8CCD7F86}"/>
    <hyperlink ref="X19" r:id="rId163" xr:uid="{5CC7C248-7159-4A9F-B070-60405DEB4052}"/>
    <hyperlink ref="X18" r:id="rId164" xr:uid="{74453D14-9060-49BF-9109-9683221D814E}"/>
    <hyperlink ref="X17" r:id="rId165" display="The Transition Accelerator, 2021" xr:uid="{0F2CFBB0-0B54-46C1-AFA3-94A822C73A2A}"/>
    <hyperlink ref="X16" r:id="rId166" display="The Transition Accelerator, 2021" xr:uid="{3F82005B-2C2C-403B-9D5F-9F98B63E0BFF}"/>
    <hyperlink ref="X15" r:id="rId167" xr:uid="{A5AD7D5F-906A-45C2-9C83-A0351CD9A455}"/>
    <hyperlink ref="X14" r:id="rId168" xr:uid="{9FC053F0-76C7-4A04-B325-500B8A05A486}"/>
    <hyperlink ref="X13" r:id="rId169" display="The Transition Accelerator, 2021" xr:uid="{478F169D-DF0B-435B-A9FD-272EA12B35A3}"/>
    <hyperlink ref="X7" r:id="rId170" display="The Transition Accelerator, 2021" xr:uid="{F8C7336E-E985-4793-B3F1-5D847D74804C}"/>
    <hyperlink ref="X5" r:id="rId171" xr:uid="{A178B144-E83F-4B1E-8800-265DCFDA432C}"/>
    <hyperlink ref="X8" r:id="rId172" xr:uid="{2D8AC528-1C8C-41DC-80DF-B43BFE64954E}"/>
    <hyperlink ref="Z22" r:id="rId173" xr:uid="{8D76F23D-179D-46BA-8AC1-6B7B042880CA}"/>
    <hyperlink ref="Z21" r:id="rId174" xr:uid="{B02D918E-73DC-4FB2-BC8A-06E1ACE85C55}"/>
    <hyperlink ref="Z20" r:id="rId175" xr:uid="{2234044D-0EFC-4C65-921A-C2FAE41A86C1}"/>
    <hyperlink ref="Z19" r:id="rId176" xr:uid="{3A40DE0F-F182-4AF0-BAD6-C21E9F15C012}"/>
    <hyperlink ref="Z18" r:id="rId177" xr:uid="{BF6388C7-C0B4-4625-9F1D-587B18380BB8}"/>
    <hyperlink ref="Z17" r:id="rId178" display="The Transition Accelerator, 2021" xr:uid="{67E6B8C6-4063-490A-8BED-82D6833DFAF9}"/>
    <hyperlink ref="Z16" r:id="rId179" display="The Transition Accelerator, 2021" xr:uid="{18EEE4A2-D650-4475-ADAF-97D993178E63}"/>
    <hyperlink ref="Z15" r:id="rId180" xr:uid="{316EABD5-7264-488E-984C-8EC6F4F7025F}"/>
    <hyperlink ref="Z14" r:id="rId181" xr:uid="{CB496604-7932-4916-AE50-03D91415FADE}"/>
    <hyperlink ref="Z7" r:id="rId182" display="The Transition Accelerator, 2021" xr:uid="{1B655EAD-EDF8-4E07-8C09-B9DE097B21E7}"/>
    <hyperlink ref="Z13" r:id="rId183" display="The Transition Accelerator, 2021" xr:uid="{729443ED-0229-4BB6-8EF8-11D66BBDB676}"/>
    <hyperlink ref="Z5" r:id="rId184" xr:uid="{5B1C6818-C15E-4CCA-BFF4-054A81C68F68}"/>
    <hyperlink ref="Z8" r:id="rId185" xr:uid="{371CC252-72C3-4571-ACB6-ECBF6223A608}"/>
    <hyperlink ref="AB22" r:id="rId186" xr:uid="{EB51DCC9-3D00-4EF1-ADCF-FDBC5A820040}"/>
    <hyperlink ref="AB21" r:id="rId187" xr:uid="{E2AB0B27-1755-4DEC-B65A-13A4ED93C57B}"/>
    <hyperlink ref="AB20" r:id="rId188" xr:uid="{62283DD4-E346-421E-BFB5-B5F174633ED4}"/>
    <hyperlink ref="AB19" r:id="rId189" xr:uid="{7A9A44CE-BAC1-4AB9-9968-514518CCF6BB}"/>
    <hyperlink ref="AB18" r:id="rId190" xr:uid="{8A089EA2-FBF1-4887-8D13-DF96A710C83C}"/>
    <hyperlink ref="AB17" r:id="rId191" display="The Transition Accelerator, 2021" xr:uid="{BE673123-CCEE-4A2F-959D-C87768C63FB0}"/>
    <hyperlink ref="AB16" r:id="rId192" display="The Transition Accelerator, 2021" xr:uid="{A05D7A09-E06B-454C-935A-4D2CC17E0E48}"/>
    <hyperlink ref="AB15" r:id="rId193" xr:uid="{5FF868AC-14FF-4D8F-BC47-C73FC3290687}"/>
    <hyperlink ref="AB14" r:id="rId194" xr:uid="{0DC3D438-FB4D-4C35-9A71-06F1BDF8E2BC}"/>
    <hyperlink ref="AB13" r:id="rId195" display="The Transition Accelerator, 2021" xr:uid="{4C036F90-D0A6-4B88-BCBB-E5BFCE82E5E4}"/>
    <hyperlink ref="AB7" r:id="rId196" display="The Transition Accelerator, 2021" xr:uid="{F7F1F27A-DF4B-4784-AB49-FE5A52CE5FC9}"/>
    <hyperlink ref="AB5" r:id="rId197" xr:uid="{48690FA0-CC23-43E0-9DB5-739E4ED4F0F1}"/>
    <hyperlink ref="AB8" r:id="rId198" xr:uid="{F5363199-15EC-4394-9EA9-C0CFD876EA33}"/>
    <hyperlink ref="AD22" r:id="rId199" xr:uid="{29616CC9-75ED-450C-87EC-8072CEA5C621}"/>
    <hyperlink ref="AD21" r:id="rId200" xr:uid="{EDC99D99-D7D1-4E39-9D42-E44F0AD9C896}"/>
    <hyperlink ref="AD20" r:id="rId201" xr:uid="{615C430F-5BCF-4F71-97C3-EB307D5CB6D3}"/>
    <hyperlink ref="AD19" r:id="rId202" xr:uid="{20447847-97F4-4497-B83C-5F9A741314DD}"/>
    <hyperlink ref="AD18" r:id="rId203" xr:uid="{2041DA79-76DE-4EE3-A070-2B4F346302FD}"/>
    <hyperlink ref="AD17" r:id="rId204" display="The Transition Accelerator, 2021" xr:uid="{046E5E9A-3488-47BA-8508-B34A3D60E632}"/>
    <hyperlink ref="AD16" r:id="rId205" display="The Transition Accelerator, 2021" xr:uid="{1011DF29-3420-42AA-B5A4-97D45B816719}"/>
    <hyperlink ref="AD15" r:id="rId206" xr:uid="{65D2EEE6-D71A-4883-8254-04DE4707FFE9}"/>
    <hyperlink ref="AD14" r:id="rId207" xr:uid="{7E9C2143-567C-4185-A296-FCCA29550275}"/>
    <hyperlink ref="AD7" r:id="rId208" display="The Transition Accelerator, 2021" xr:uid="{70C3E33E-A5DE-41B3-B609-5B137ABE670E}"/>
    <hyperlink ref="AD13" r:id="rId209" display="The Transition Accelerator, 2021" xr:uid="{9146E4E3-4738-4284-B7CE-CDCF45204599}"/>
    <hyperlink ref="AD5" r:id="rId210" xr:uid="{BC91B8E4-2351-4ADC-95F5-125CBF4EA353}"/>
    <hyperlink ref="AD8" r:id="rId211" xr:uid="{FC73356C-3A07-4074-994C-86B36AF0E58B}"/>
    <hyperlink ref="AF22" r:id="rId212" xr:uid="{99280B5D-92B2-4A7F-B0BA-7C9CE40A0CDF}"/>
    <hyperlink ref="AF21" r:id="rId213" xr:uid="{4FC83481-62FB-4ABB-8DFC-85CCB0A812A5}"/>
    <hyperlink ref="AF20" r:id="rId214" xr:uid="{4FC5319A-82EA-44B5-B2AA-373DBEE04589}"/>
    <hyperlink ref="AF19" r:id="rId215" xr:uid="{D263F80F-F37F-40A8-BCD3-392434A29EB8}"/>
    <hyperlink ref="AF18" r:id="rId216" xr:uid="{535439E0-99A3-4AC3-8712-129FA588E5B3}"/>
    <hyperlink ref="AF17" r:id="rId217" display="The Transition Accelerator, 2021" xr:uid="{352D3E73-D36A-4234-A7C1-2B87D22FF771}"/>
    <hyperlink ref="AF16" r:id="rId218" display="The Transition Accelerator, 2021" xr:uid="{B39B726B-CFFF-479E-A240-6C1E1E772540}"/>
    <hyperlink ref="AF15" r:id="rId219" xr:uid="{24084209-A7D8-407A-9169-F868547A3142}"/>
    <hyperlink ref="AF14" r:id="rId220" xr:uid="{049B3EFB-C188-4BCB-ABD6-AC715E6C7D32}"/>
    <hyperlink ref="AF13" r:id="rId221" display="The Transition Accelerator, 2021" xr:uid="{0E6D982B-C47A-4E30-A82B-8CFAD6A5DF88}"/>
    <hyperlink ref="AF7" r:id="rId222" display="The Transition Accelerator, 2021" xr:uid="{5EEBC5D5-33F5-456E-9A46-6BDC66FC8CB8}"/>
    <hyperlink ref="AF5" r:id="rId223" xr:uid="{9F9986A0-D25D-4AF0-BFC2-DCCE50D6277F}"/>
    <hyperlink ref="AF8" r:id="rId224" xr:uid="{F35DE5DF-1682-44E5-8C79-2AB5913843C6}"/>
    <hyperlink ref="P12" r:id="rId225" location=":~:text=Trucks%20that%20haul%20gaseous%20hydrogen,trailer%20that%20the%20truck%20hauls." xr:uid="{D34DEB0B-F091-4ECE-97B0-CB0AAE1C79BF}"/>
    <hyperlink ref="A28" r:id="rId226" xr:uid="{E29883BD-1B8D-7043-BBF0-83BD63DB4716}"/>
    <hyperlink ref="A29" r:id="rId227" xr:uid="{061E3D02-B0FE-2342-9064-22306058DD9F}"/>
    <hyperlink ref="F11" r:id="rId228" display="The Transition Accelerator, 2021" xr:uid="{63B954A8-54B9-DF4D-9D5E-12BA08D9E43C}"/>
    <hyperlink ref="F22" r:id="rId229" xr:uid="{CFB8D49F-446C-D945-BFC9-7B80AD2FFA10}"/>
    <hyperlink ref="F21" r:id="rId230" xr:uid="{E4255B44-AE1B-B441-AE89-EF556C221DFF}"/>
    <hyperlink ref="F20" r:id="rId231" xr:uid="{94D0B3EA-4AFF-274E-84BD-92409325E3E7}"/>
    <hyperlink ref="F19" r:id="rId232" xr:uid="{F7991F91-AD6D-3044-A1DF-E55B2D5B4E1B}"/>
    <hyperlink ref="F18" r:id="rId233" xr:uid="{074ACE71-278C-8744-8BAC-D6FA5BC9E4BB}"/>
    <hyperlink ref="F17" r:id="rId234" xr:uid="{139E9645-86D4-574A-A82F-5E0F11C7DEBD}"/>
    <hyperlink ref="F16" r:id="rId235" display="The Transition Accelerator, 2021" xr:uid="{A092BAB2-3CA1-BA45-B106-490437C8EE6A}"/>
    <hyperlink ref="F15" r:id="rId236" xr:uid="{41C38CE2-416E-734D-9452-22C33C0927C5}"/>
    <hyperlink ref="F14" r:id="rId237" xr:uid="{AFDB966E-EBAB-3B44-A241-BFDBEFCD1A8C}"/>
    <hyperlink ref="F13" r:id="rId238" display="The Transition Accelerator, 2021" xr:uid="{DAF96218-3496-4F43-B90A-4FC210E10747}"/>
    <hyperlink ref="F8" r:id="rId239" display="The Transition Accelerator, 2021" xr:uid="{EACC0434-F77C-3340-A28B-7A228E64258B}"/>
    <hyperlink ref="F7" r:id="rId240" display="The Transition Accelerator, 2021" xr:uid="{2CA93CD3-176F-DB45-A5F7-BF3C067E18AD}"/>
    <hyperlink ref="F6" r:id="rId241" xr:uid="{C6B5EBB9-9BE1-2742-A920-CD74AF1A1E01}"/>
    <hyperlink ref="F5" r:id="rId242" xr:uid="{6BFABB0A-1FDD-F543-AEE6-73346EADCAE9}"/>
    <hyperlink ref="N11" r:id="rId243" display="The Transition Accelerator, 2021" xr:uid="{4E298DBA-2B4A-4768-A49A-3D0BCCCDFBB1}"/>
    <hyperlink ref="N22" r:id="rId244" xr:uid="{DD14AA8D-AEF3-4347-9345-47A487D28EAD}"/>
    <hyperlink ref="N21" r:id="rId245" xr:uid="{CCAF0DC3-4C2F-4702-B5BE-597E1436F896}"/>
    <hyperlink ref="N20" r:id="rId246" xr:uid="{0836DA3B-D6EF-4FC4-8E59-3DAFAC973545}"/>
    <hyperlink ref="N19" r:id="rId247" xr:uid="{185D9D09-DAC3-4E5C-9777-6410E27E7F5C}"/>
    <hyperlink ref="N18" r:id="rId248" xr:uid="{24CC574E-F354-43EA-82D7-ED9CCA82C764}"/>
    <hyperlink ref="N17" r:id="rId249" display="The Transition Accelerator, 2021" xr:uid="{E13BFB42-D3F2-4B45-9861-E273C2D32FA7}"/>
    <hyperlink ref="N16" r:id="rId250" display="The Transition Accelerator, 2021" xr:uid="{1C155EDC-FF9F-469E-A825-AA90C610DDDE}"/>
    <hyperlink ref="N15" r:id="rId251" xr:uid="{89084DAE-E906-4009-A712-1A1CAD80A5EC}"/>
    <hyperlink ref="N14" r:id="rId252" xr:uid="{ACDA3525-D939-4D1D-A295-D305093996EF}"/>
    <hyperlink ref="N6" r:id="rId253" display="The Transition Accelerator, 2021" xr:uid="{5E3F3B72-8D93-4DF7-A301-269893F199DD}"/>
    <hyperlink ref="N7" r:id="rId254" display="The Transition Accelerator, 2021" xr:uid="{76A8FDBF-E398-408F-9EB1-43CF6C5FB293}"/>
    <hyperlink ref="N8" r:id="rId255" display="The Transition Accelerator, 2021" xr:uid="{6B4C0B7B-0B69-4ECF-935A-F27AB43A2DF0}"/>
    <hyperlink ref="N13" r:id="rId256" display="The Transition Accelerator, 2021" xr:uid="{E28AE297-EB69-4664-87D5-8040256C3BC3}"/>
    <hyperlink ref="N5" r:id="rId257" xr:uid="{3EF3368E-9EF6-425D-84BD-46D00EDE9CF9}"/>
    <hyperlink ref="Z12" r:id="rId258" xr:uid="{88EB6F76-93DE-4857-9F59-FA5F5FE5963F}"/>
    <hyperlink ref="AB12" r:id="rId259" xr:uid="{25E30C37-0490-4A19-80C6-6EC4F66CB8B0}"/>
    <hyperlink ref="AD12" r:id="rId260" xr:uid="{D8FEEEF8-ACD0-4DE3-8B71-E537ECAB9A5A}"/>
    <hyperlink ref="AF12" r:id="rId261" xr:uid="{7A2D7238-71AF-4B11-8F29-F578875FDCEF}"/>
    <hyperlink ref="AZ5" r:id="rId262" xr:uid="{2FD08CB9-33C1-4374-ACD3-3190779129B1}"/>
    <hyperlink ref="AZ10" r:id="rId263" xr:uid="{16D56890-1EDF-4DBE-94B2-184A53055ADE}"/>
    <hyperlink ref="AZ6" r:id="rId264" xr:uid="{C861115B-7930-4699-89DC-AF1687218D21}"/>
    <hyperlink ref="R12" r:id="rId265" xr:uid="{7A38F55D-C672-42D8-A1CB-705A2D6C94A1}"/>
    <hyperlink ref="V12" r:id="rId266" xr:uid="{EE7F9EF3-1783-4CD9-8B71-8CD65181FDA3}"/>
    <hyperlink ref="X12" r:id="rId267" xr:uid="{33FD1803-3BC5-492B-89D3-A8F4B6783F3E}"/>
    <hyperlink ref="Z11" r:id="rId268" xr:uid="{F3477964-D6F9-49D1-918A-26A31F4A0403}"/>
    <hyperlink ref="AB11" r:id="rId269" xr:uid="{1F80627F-7278-4301-A89C-F0B53469A2E9}"/>
    <hyperlink ref="AD11" r:id="rId270" xr:uid="{1A5A67EA-1BAE-4F39-BCF7-F5F33305A18A}"/>
    <hyperlink ref="AF11" r:id="rId271" xr:uid="{E75F139C-9459-4FD3-B7F5-D92DD00DB13B}"/>
  </hyperlinks>
  <pageMargins left="0.7" right="0.7" top="0.75" bottom="0.75" header="0.3" footer="0.3"/>
  <pageSetup paperSize="9" orientation="portrait" verticalDpi="0" r:id="rId272"/>
  <legacyDrawing r:id="rId273"/>
  <tableParts count="5">
    <tablePart r:id="rId274"/>
    <tablePart r:id="rId275"/>
    <tablePart r:id="rId276"/>
    <tablePart r:id="rId277"/>
    <tablePart r:id="rId278"/>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53B68-AD83-3C4D-9EA4-6A4B325DCF3F}">
  <dimension ref="A1:F35"/>
  <sheetViews>
    <sheetView zoomScale="80" zoomScaleNormal="80" workbookViewId="0">
      <selection activeCell="F1" sqref="A1:F35"/>
    </sheetView>
  </sheetViews>
  <sheetFormatPr baseColWidth="10" defaultColWidth="10.5" defaultRowHeight="16"/>
  <cols>
    <col min="1" max="1" width="14.33203125" style="2" customWidth="1"/>
    <col min="2" max="2" width="15.33203125" style="2" bestFit="1" customWidth="1"/>
    <col min="3" max="3" width="15" style="2" bestFit="1" customWidth="1"/>
    <col min="4" max="4" width="19.33203125" style="2" bestFit="1" customWidth="1"/>
    <col min="5" max="5" width="19.33203125" style="2" customWidth="1"/>
    <col min="6" max="6" width="31.5" style="2" bestFit="1" customWidth="1"/>
    <col min="7" max="7" width="14.83203125" style="2" customWidth="1"/>
    <col min="8" max="8" width="16.5" style="2" customWidth="1"/>
    <col min="9" max="9" width="24.83203125" style="2" bestFit="1" customWidth="1"/>
    <col min="10" max="10" width="10.5" style="2"/>
    <col min="11" max="11" width="18" style="2" customWidth="1"/>
    <col min="12" max="12" width="13" style="2" bestFit="1" customWidth="1"/>
    <col min="13" max="16384" width="10.5" style="2"/>
  </cols>
  <sheetData>
    <row r="1" spans="1:6">
      <c r="A1" s="540" t="str">
        <f>Tb_SC[[#Headers],[Code]]</f>
        <v>Code</v>
      </c>
      <c r="B1" s="541" t="str">
        <f>Tb_SC[[#Headers],[Code1]]</f>
        <v>Code1</v>
      </c>
      <c r="C1" s="541" t="str">
        <f>Tb_SC[[#Headers],[Production loc]]</f>
        <v>Production loc</v>
      </c>
      <c r="D1" s="541" t="str">
        <f>Tb_SC[[#Headers],[Production method]]</f>
        <v>Production method</v>
      </c>
      <c r="E1" s="541" t="str">
        <f>Tb_SC[[#Headers],[Electricity source]]</f>
        <v>Electricity source</v>
      </c>
      <c r="F1" s="842" t="str">
        <f>Tb_SC[[#Headers],[Additional comments]]</f>
        <v>Additional comments</v>
      </c>
    </row>
    <row r="2" spans="1:6" ht="17" thickBot="1">
      <c r="A2" s="843">
        <v>1</v>
      </c>
      <c r="B2" s="844">
        <v>2</v>
      </c>
      <c r="C2" s="844">
        <v>3</v>
      </c>
      <c r="D2" s="844">
        <v>4</v>
      </c>
      <c r="E2" s="844">
        <v>5</v>
      </c>
      <c r="F2" s="845">
        <v>6</v>
      </c>
    </row>
    <row r="3" spans="1:6" ht="17" thickBot="1">
      <c r="A3" s="846" t="s">
        <v>662</v>
      </c>
      <c r="B3" s="847" t="s">
        <v>663</v>
      </c>
      <c r="C3" s="847" t="s">
        <v>664</v>
      </c>
      <c r="D3" s="847" t="s">
        <v>665</v>
      </c>
      <c r="E3" s="847" t="s">
        <v>71</v>
      </c>
      <c r="F3" s="848" t="s">
        <v>72</v>
      </c>
    </row>
    <row r="4" spans="1:6">
      <c r="A4" s="527" t="str">
        <f>Tb_SC[[#This Row],[Production loc]]&amp;Tb_SC[[#This Row],[Production method]]&amp;Tb_SC[[#This Row],[Electricity source]]</f>
        <v>GermanyElectrolysisSolar</v>
      </c>
      <c r="B4" s="364" t="str">
        <f>Tb_SC[[#This Row],[Production loc]]&amp;COUNTIF($C$4:C4,C4)</f>
        <v>Germany1</v>
      </c>
      <c r="C4" s="364" t="s">
        <v>21</v>
      </c>
      <c r="D4" s="364" t="s">
        <v>666</v>
      </c>
      <c r="E4" s="364" t="s">
        <v>667</v>
      </c>
      <c r="F4" s="692" t="s">
        <v>280</v>
      </c>
    </row>
    <row r="5" spans="1:6">
      <c r="A5" s="527" t="str">
        <f>Tb_SC[[#This Row],[Production loc]]&amp;Tb_SC[[#This Row],[Production method]]&amp;Tb_SC[[#This Row],[Electricity source]]</f>
        <v>GermanyElectrolysisOnshore wind</v>
      </c>
      <c r="B5" s="364" t="str">
        <f>Tb_SC[[#This Row],[Production loc]]&amp;COUNTIF($C$4:C5,C5)</f>
        <v>Germany2</v>
      </c>
      <c r="C5" s="364" t="s">
        <v>21</v>
      </c>
      <c r="D5" s="364" t="s">
        <v>666</v>
      </c>
      <c r="E5" s="364" t="s">
        <v>668</v>
      </c>
      <c r="F5" s="692" t="s">
        <v>280</v>
      </c>
    </row>
    <row r="6" spans="1:6">
      <c r="A6" s="527" t="str">
        <f>Tb_SC[[#This Row],[Production loc]]&amp;Tb_SC[[#This Row],[Production method]]&amp;Tb_SC[[#This Row],[Electricity source]]</f>
        <v>GermanyElectrolysisOffshore wind</v>
      </c>
      <c r="B6" s="364" t="str">
        <f>Tb_SC[[#This Row],[Production loc]]&amp;COUNTIF($C$4:C6,C6)</f>
        <v>Germany3</v>
      </c>
      <c r="C6" s="364" t="s">
        <v>21</v>
      </c>
      <c r="D6" s="364" t="s">
        <v>666</v>
      </c>
      <c r="E6" s="364" t="s">
        <v>669</v>
      </c>
      <c r="F6" s="692" t="s">
        <v>280</v>
      </c>
    </row>
    <row r="7" spans="1:6">
      <c r="A7" s="527" t="str">
        <f>Tb_SC[[#This Row],[Production loc]]&amp;Tb_SC[[#This Row],[Production method]]&amp;Tb_SC[[#This Row],[Electricity source]]</f>
        <v>GermanyElectrolysisGrid</v>
      </c>
      <c r="B7" s="364" t="str">
        <f>Tb_SC[[#This Row],[Production loc]]&amp;COUNTIF($C$4:C7,C7)</f>
        <v>Germany4</v>
      </c>
      <c r="C7" s="364" t="s">
        <v>21</v>
      </c>
      <c r="D7" s="364" t="s">
        <v>666</v>
      </c>
      <c r="E7" s="364" t="s">
        <v>670</v>
      </c>
      <c r="F7" s="692" t="s">
        <v>280</v>
      </c>
    </row>
    <row r="8" spans="1:6">
      <c r="A8" s="527" t="str">
        <f>Tb_SC[[#This Row],[Production loc]]&amp;Tb_SC[[#This Row],[Production method]]&amp;Tb_SC[[#This Row],[Electricity source]]</f>
        <v>GermanySMR-</v>
      </c>
      <c r="B8" s="364" t="str">
        <f>Tb_SC[[#This Row],[Production loc]]&amp;COUNTIF($C$4:C8,C8)</f>
        <v>Germany5</v>
      </c>
      <c r="C8" s="364" t="s">
        <v>21</v>
      </c>
      <c r="D8" s="364" t="s">
        <v>671</v>
      </c>
      <c r="E8" s="364" t="s">
        <v>222</v>
      </c>
      <c r="F8" s="692" t="s">
        <v>280</v>
      </c>
    </row>
    <row r="9" spans="1:6">
      <c r="A9" s="527" t="str">
        <f>Tb_SC[[#This Row],[Production loc]]&amp;Tb_SC[[#This Row],[Production method]]&amp;Tb_SC[[#This Row],[Electricity source]]</f>
        <v>GermanyPyrolysis-</v>
      </c>
      <c r="B9" s="364" t="str">
        <f>Tb_SC[[#This Row],[Production loc]]&amp;COUNTIF($C$4:C9,C9)</f>
        <v>Germany6</v>
      </c>
      <c r="C9" s="364" t="s">
        <v>21</v>
      </c>
      <c r="D9" s="364" t="s">
        <v>23</v>
      </c>
      <c r="E9" s="364" t="s">
        <v>222</v>
      </c>
      <c r="F9" s="692" t="s">
        <v>280</v>
      </c>
    </row>
    <row r="10" spans="1:6">
      <c r="A10" s="527" t="str">
        <f>Tb_SC[[#This Row],[Production loc]]&amp;Tb_SC[[#This Row],[Production method]]&amp;Tb_SC[[#This Row],[Electricity source]]</f>
        <v>FranceElectrolysisSolar</v>
      </c>
      <c r="B10" s="364" t="str">
        <f>Tb_SC[[#This Row],[Production loc]]&amp;COUNTIF($C$4:C10,C10)</f>
        <v>France1</v>
      </c>
      <c r="C10" s="364" t="s">
        <v>152</v>
      </c>
      <c r="D10" s="364" t="s">
        <v>666</v>
      </c>
      <c r="E10" s="364" t="s">
        <v>667</v>
      </c>
      <c r="F10" s="692" t="s">
        <v>280</v>
      </c>
    </row>
    <row r="11" spans="1:6">
      <c r="A11" s="527" t="str">
        <f>Tb_SC[[#This Row],[Production loc]]&amp;Tb_SC[[#This Row],[Production method]]&amp;Tb_SC[[#This Row],[Electricity source]]</f>
        <v>FranceElectrolysisOnshore wind</v>
      </c>
      <c r="B11" s="364" t="str">
        <f>Tb_SC[[#This Row],[Production loc]]&amp;COUNTIF($C$4:C11,C11)</f>
        <v>France2</v>
      </c>
      <c r="C11" s="364" t="s">
        <v>152</v>
      </c>
      <c r="D11" s="364" t="s">
        <v>666</v>
      </c>
      <c r="E11" s="364" t="s">
        <v>668</v>
      </c>
      <c r="F11" s="692" t="s">
        <v>280</v>
      </c>
    </row>
    <row r="12" spans="1:6">
      <c r="A12" s="527" t="str">
        <f>Tb_SC[[#This Row],[Production loc]]&amp;Tb_SC[[#This Row],[Production method]]&amp;Tb_SC[[#This Row],[Electricity source]]</f>
        <v>FranceElectrolysisOffshore wind</v>
      </c>
      <c r="B12" s="364" t="str">
        <f>Tb_SC[[#This Row],[Production loc]]&amp;COUNTIF($C$4:C12,C12)</f>
        <v>France3</v>
      </c>
      <c r="C12" s="364" t="s">
        <v>152</v>
      </c>
      <c r="D12" s="364" t="s">
        <v>666</v>
      </c>
      <c r="E12" s="364" t="s">
        <v>669</v>
      </c>
      <c r="F12" s="692" t="s">
        <v>280</v>
      </c>
    </row>
    <row r="13" spans="1:6">
      <c r="A13" s="527" t="str">
        <f>Tb_SC[[#This Row],[Production loc]]&amp;Tb_SC[[#This Row],[Production method]]&amp;Tb_SC[[#This Row],[Electricity source]]</f>
        <v>FranceElectrolysisGrid</v>
      </c>
      <c r="B13" s="364" t="str">
        <f>Tb_SC[[#This Row],[Production loc]]&amp;COUNTIF($C$4:C13,C13)</f>
        <v>France4</v>
      </c>
      <c r="C13" s="364" t="s">
        <v>152</v>
      </c>
      <c r="D13" s="364" t="s">
        <v>666</v>
      </c>
      <c r="E13" s="364" t="s">
        <v>670</v>
      </c>
      <c r="F13" s="692" t="s">
        <v>280</v>
      </c>
    </row>
    <row r="14" spans="1:6">
      <c r="A14" s="527" t="str">
        <f>Tb_SC[[#This Row],[Production loc]]&amp;Tb_SC[[#This Row],[Production method]]&amp;Tb_SC[[#This Row],[Electricity source]]</f>
        <v>FranceSMR-</v>
      </c>
      <c r="B14" s="364" t="str">
        <f>Tb_SC[[#This Row],[Production loc]]&amp;COUNTIF($C$4:C14,C14)</f>
        <v>France5</v>
      </c>
      <c r="C14" s="364" t="s">
        <v>152</v>
      </c>
      <c r="D14" s="364" t="s">
        <v>671</v>
      </c>
      <c r="E14" s="364" t="s">
        <v>222</v>
      </c>
      <c r="F14" s="692" t="s">
        <v>280</v>
      </c>
    </row>
    <row r="15" spans="1:6">
      <c r="A15" s="527" t="str">
        <f>Tb_SC[[#This Row],[Production loc]]&amp;Tb_SC[[#This Row],[Production method]]&amp;Tb_SC[[#This Row],[Electricity source]]</f>
        <v>FrancePyrolysis-</v>
      </c>
      <c r="B15" s="364" t="str">
        <f>Tb_SC[[#This Row],[Production loc]]&amp;COUNTIF($C$4:C15,C15)</f>
        <v>France6</v>
      </c>
      <c r="C15" s="364" t="s">
        <v>152</v>
      </c>
      <c r="D15" s="364" t="s">
        <v>23</v>
      </c>
      <c r="E15" s="364" t="s">
        <v>222</v>
      </c>
      <c r="F15" s="692" t="s">
        <v>280</v>
      </c>
    </row>
    <row r="16" spans="1:6">
      <c r="A16" s="527" t="str">
        <f>Tb_SC[[#This Row],[Production loc]]&amp;Tb_SC[[#This Row],[Production method]]&amp;Tb_SC[[#This Row],[Electricity source]]</f>
        <v>SpainElectrolysisSolar</v>
      </c>
      <c r="B16" s="364" t="str">
        <f>Tb_SC[[#This Row],[Production loc]]&amp;COUNTIF($C$4:C16,C16)</f>
        <v>Spain1</v>
      </c>
      <c r="C16" s="364" t="s">
        <v>153</v>
      </c>
      <c r="D16" s="364" t="s">
        <v>666</v>
      </c>
      <c r="E16" s="364" t="s">
        <v>667</v>
      </c>
      <c r="F16" s="692" t="s">
        <v>280</v>
      </c>
    </row>
    <row r="17" spans="1:6">
      <c r="A17" s="527" t="str">
        <f>Tb_SC[[#This Row],[Production loc]]&amp;Tb_SC[[#This Row],[Production method]]&amp;Tb_SC[[#This Row],[Electricity source]]</f>
        <v>SpainElectrolysisOnshore wind</v>
      </c>
      <c r="B17" s="364" t="str">
        <f>Tb_SC[[#This Row],[Production loc]]&amp;COUNTIF($C$4:C17,C17)</f>
        <v>Spain2</v>
      </c>
      <c r="C17" s="364" t="s">
        <v>153</v>
      </c>
      <c r="D17" s="364" t="s">
        <v>666</v>
      </c>
      <c r="E17" s="364" t="s">
        <v>668</v>
      </c>
      <c r="F17" s="692" t="s">
        <v>280</v>
      </c>
    </row>
    <row r="18" spans="1:6">
      <c r="A18" s="527" t="str">
        <f>Tb_SC[[#This Row],[Production loc]]&amp;Tb_SC[[#This Row],[Production method]]&amp;Tb_SC[[#This Row],[Electricity source]]</f>
        <v>SpainElectrolysisOffshore wind</v>
      </c>
      <c r="B18" s="364" t="str">
        <f>Tb_SC[[#This Row],[Production loc]]&amp;COUNTIF($C$4:C18,C18)</f>
        <v>Spain3</v>
      </c>
      <c r="C18" s="364" t="s">
        <v>153</v>
      </c>
      <c r="D18" s="364" t="s">
        <v>666</v>
      </c>
      <c r="E18" s="364" t="s">
        <v>669</v>
      </c>
      <c r="F18" s="692" t="s">
        <v>280</v>
      </c>
    </row>
    <row r="19" spans="1:6">
      <c r="A19" s="527" t="str">
        <f>Tb_SC[[#This Row],[Production loc]]&amp;Tb_SC[[#This Row],[Production method]]&amp;Tb_SC[[#This Row],[Electricity source]]</f>
        <v>SpainElectrolysisGrid</v>
      </c>
      <c r="B19" s="364" t="str">
        <f>Tb_SC[[#This Row],[Production loc]]&amp;COUNTIF($C$4:C19,C19)</f>
        <v>Spain4</v>
      </c>
      <c r="C19" s="364" t="s">
        <v>153</v>
      </c>
      <c r="D19" s="364" t="s">
        <v>666</v>
      </c>
      <c r="E19" s="364" t="s">
        <v>670</v>
      </c>
      <c r="F19" s="692" t="s">
        <v>280</v>
      </c>
    </row>
    <row r="20" spans="1:6">
      <c r="A20" s="527" t="str">
        <f>Tb_SC[[#This Row],[Production loc]]&amp;Tb_SC[[#This Row],[Production method]]&amp;Tb_SC[[#This Row],[Electricity source]]</f>
        <v>SpainSMR-</v>
      </c>
      <c r="B20" s="364" t="str">
        <f>Tb_SC[[#This Row],[Production loc]]&amp;COUNTIF($C$4:C20,C20)</f>
        <v>Spain5</v>
      </c>
      <c r="C20" s="364" t="s">
        <v>153</v>
      </c>
      <c r="D20" s="364" t="s">
        <v>671</v>
      </c>
      <c r="E20" s="364" t="s">
        <v>222</v>
      </c>
      <c r="F20" s="692" t="s">
        <v>280</v>
      </c>
    </row>
    <row r="21" spans="1:6">
      <c r="A21" s="527" t="str">
        <f>Tb_SC[[#This Row],[Production loc]]&amp;Tb_SC[[#This Row],[Production method]]&amp;Tb_SC[[#This Row],[Electricity source]]</f>
        <v>SpainPyrolysis-</v>
      </c>
      <c r="B21" s="364" t="str">
        <f>Tb_SC[[#This Row],[Production loc]]&amp;COUNTIF($C$4:C21,C21)</f>
        <v>Spain6</v>
      </c>
      <c r="C21" s="364" t="s">
        <v>153</v>
      </c>
      <c r="D21" s="364" t="s">
        <v>23</v>
      </c>
      <c r="E21" s="364" t="s">
        <v>222</v>
      </c>
      <c r="F21" s="692" t="s">
        <v>280</v>
      </c>
    </row>
    <row r="22" spans="1:6">
      <c r="A22" s="527" t="str">
        <f>Tb_SC[[#This Row],[Production loc]]&amp;Tb_SC[[#This Row],[Production method]]&amp;Tb_SC[[#This Row],[Electricity source]]</f>
        <v>ChileElectrolysisSolar</v>
      </c>
      <c r="B22" s="364" t="str">
        <f>Tb_SC[[#This Row],[Production loc]]&amp;COUNTIF($C$4:C22,C22)</f>
        <v>Chile1</v>
      </c>
      <c r="C22" s="364" t="s">
        <v>672</v>
      </c>
      <c r="D22" s="364" t="s">
        <v>666</v>
      </c>
      <c r="E22" s="364" t="s">
        <v>667</v>
      </c>
      <c r="F22" s="692" t="s">
        <v>673</v>
      </c>
    </row>
    <row r="23" spans="1:6">
      <c r="A23" s="527" t="str">
        <f>Tb_SC[[#This Row],[Production loc]]&amp;Tb_SC[[#This Row],[Production method]]&amp;Tb_SC[[#This Row],[Electricity source]]</f>
        <v>ChileElectrolysisOnshore wind</v>
      </c>
      <c r="B23" s="364" t="str">
        <f>Tb_SC[[#This Row],[Production loc]]&amp;COUNTIF($C$4:C23,C23)</f>
        <v>Chile2</v>
      </c>
      <c r="C23" s="364" t="s">
        <v>672</v>
      </c>
      <c r="D23" s="364" t="s">
        <v>666</v>
      </c>
      <c r="E23" s="364" t="s">
        <v>668</v>
      </c>
      <c r="F23" s="692" t="s">
        <v>674</v>
      </c>
    </row>
    <row r="24" spans="1:6">
      <c r="A24" s="527" t="str">
        <f>Tb_SC[[#This Row],[Production loc]]&amp;Tb_SC[[#This Row],[Production method]]&amp;Tb_SC[[#This Row],[Electricity source]]</f>
        <v>AustraliaElectrolysisSolar</v>
      </c>
      <c r="B24" s="364" t="str">
        <f>Tb_SC[[#This Row],[Production loc]]&amp;COUNTIF($C$4:C24,C24)</f>
        <v>Australia1</v>
      </c>
      <c r="C24" s="364" t="s">
        <v>675</v>
      </c>
      <c r="D24" s="364" t="s">
        <v>666</v>
      </c>
      <c r="E24" s="364" t="s">
        <v>667</v>
      </c>
      <c r="F24" s="692" t="s">
        <v>676</v>
      </c>
    </row>
    <row r="25" spans="1:6">
      <c r="A25" s="527" t="str">
        <f>Tb_SC[[#This Row],[Production loc]]&amp;Tb_SC[[#This Row],[Production method]]&amp;Tb_SC[[#This Row],[Electricity source]]</f>
        <v>AustraliaElectrolysisOnshore wind</v>
      </c>
      <c r="B25" s="364" t="str">
        <f>Tb_SC[[#This Row],[Production loc]]&amp;COUNTIF($C$4:C25,C25)</f>
        <v>Australia2</v>
      </c>
      <c r="C25" s="364" t="s">
        <v>675</v>
      </c>
      <c r="D25" s="364" t="s">
        <v>666</v>
      </c>
      <c r="E25" s="364" t="s">
        <v>668</v>
      </c>
      <c r="F25" s="692" t="s">
        <v>676</v>
      </c>
    </row>
    <row r="26" spans="1:6">
      <c r="A26" s="527" t="str">
        <f>Tb_SC[[#This Row],[Production loc]]&amp;Tb_SC[[#This Row],[Production method]]&amp;Tb_SC[[#This Row],[Electricity source]]</f>
        <v>AlgeriaElectrolysisSolar</v>
      </c>
      <c r="B26" s="364" t="str">
        <f>Tb_SC[[#This Row],[Production loc]]&amp;COUNTIF($C$4:C26,C26)</f>
        <v>Algeria1</v>
      </c>
      <c r="C26" s="364" t="s">
        <v>677</v>
      </c>
      <c r="D26" s="364" t="s">
        <v>666</v>
      </c>
      <c r="E26" s="364" t="s">
        <v>667</v>
      </c>
      <c r="F26" s="692"/>
    </row>
    <row r="27" spans="1:6">
      <c r="A27" s="527" t="str">
        <f>Tb_SC[[#This Row],[Production loc]]&amp;Tb_SC[[#This Row],[Production method]]&amp;Tb_SC[[#This Row],[Electricity source]]</f>
        <v>AlgeriaElectrolysisOnshore wind</v>
      </c>
      <c r="B27" s="364" t="str">
        <f>Tb_SC[[#This Row],[Production loc]]&amp;COUNTIF($C$4:C27,C27)</f>
        <v>Algeria2</v>
      </c>
      <c r="C27" s="364" t="s">
        <v>677</v>
      </c>
      <c r="D27" s="364" t="s">
        <v>666</v>
      </c>
      <c r="E27" s="364" t="s">
        <v>668</v>
      </c>
      <c r="F27" s="692"/>
    </row>
    <row r="28" spans="1:6">
      <c r="A28" s="527" t="str">
        <f>Tb_SC[[#This Row],[Production loc]]&amp;Tb_SC[[#This Row],[Production method]]&amp;Tb_SC[[#This Row],[Electricity source]]</f>
        <v>AlgeriaSMR</v>
      </c>
      <c r="B28" s="364" t="str">
        <f>Tb_SC[[#This Row],[Production loc]]&amp;COUNTIF($C$4:C28,C28)</f>
        <v>Algeria3</v>
      </c>
      <c r="C28" s="364" t="s">
        <v>677</v>
      </c>
      <c r="D28" s="364" t="s">
        <v>671</v>
      </c>
      <c r="E28" s="364"/>
      <c r="F28" s="692"/>
    </row>
    <row r="29" spans="1:6">
      <c r="A29" s="527" t="str">
        <f>Tb_SC[[#This Row],[Production loc]]&amp;Tb_SC[[#This Row],[Production method]]&amp;Tb_SC[[#This Row],[Electricity source]]</f>
        <v>AlgeriaPyrolysis</v>
      </c>
      <c r="B29" s="364" t="str">
        <f>Tb_SC[[#This Row],[Production loc]]&amp;COUNTIF($C$4:C29,C29)</f>
        <v>Algeria4</v>
      </c>
      <c r="C29" s="364" t="s">
        <v>677</v>
      </c>
      <c r="D29" s="364" t="s">
        <v>23</v>
      </c>
      <c r="E29" s="364"/>
      <c r="F29" s="692"/>
    </row>
    <row r="30" spans="1:6">
      <c r="A30" s="527" t="str">
        <f>Tb_SC[[#This Row],[Production loc]]&amp;Tb_SC[[#This Row],[Production method]]&amp;Tb_SC[[#This Row],[Electricity source]]</f>
        <v>Saudi ArabiaElectrolysisSolar</v>
      </c>
      <c r="B30" s="364" t="str">
        <f>Tb_SC[[#This Row],[Production loc]]&amp;COUNTIF($C$4:C30,C30)</f>
        <v>Saudi Arabia1</v>
      </c>
      <c r="C30" s="364" t="s">
        <v>678</v>
      </c>
      <c r="D30" s="364" t="s">
        <v>666</v>
      </c>
      <c r="E30" s="364" t="s">
        <v>667</v>
      </c>
      <c r="F30" s="692" t="s">
        <v>679</v>
      </c>
    </row>
    <row r="31" spans="1:6">
      <c r="A31" s="527" t="str">
        <f>Tb_SC[[#This Row],[Production loc]]&amp;Tb_SC[[#This Row],[Production method]]&amp;Tb_SC[[#This Row],[Electricity source]]</f>
        <v>Saudi ArabiaElectrolysisOnshore wind</v>
      </c>
      <c r="B31" s="364" t="str">
        <f>Tb_SC[[#This Row],[Production loc]]&amp;COUNTIF($C$4:C31,C31)</f>
        <v>Saudi Arabia2</v>
      </c>
      <c r="C31" s="364" t="s">
        <v>678</v>
      </c>
      <c r="D31" s="364" t="s">
        <v>666</v>
      </c>
      <c r="E31" s="364" t="s">
        <v>668</v>
      </c>
      <c r="F31" s="692" t="s">
        <v>679</v>
      </c>
    </row>
    <row r="32" spans="1:6">
      <c r="A32" s="527" t="str">
        <f>Tb_SC[[#This Row],[Production loc]]&amp;Tb_SC[[#This Row],[Production method]]&amp;Tb_SC[[#This Row],[Electricity source]]</f>
        <v>NorwaySMR-</v>
      </c>
      <c r="B32" s="364" t="str">
        <f>Tb_SC[[#This Row],[Production loc]]&amp;COUNTIF($C$4:C32,C32)</f>
        <v>Norway1</v>
      </c>
      <c r="C32" s="364" t="s">
        <v>680</v>
      </c>
      <c r="D32" s="364" t="s">
        <v>671</v>
      </c>
      <c r="E32" s="364" t="s">
        <v>222</v>
      </c>
      <c r="F32" s="692"/>
    </row>
    <row r="33" spans="1:6">
      <c r="A33" s="527" t="str">
        <f>Tb_SC[[#This Row],[Production loc]]&amp;Tb_SC[[#This Row],[Production method]]&amp;Tb_SC[[#This Row],[Electricity source]]</f>
        <v>NorwayPyrolysis-</v>
      </c>
      <c r="B33" s="364" t="str">
        <f>Tb_SC[[#This Row],[Production loc]]&amp;COUNTIF($C$4:C33,C33)</f>
        <v>Norway2</v>
      </c>
      <c r="C33" s="364" t="s">
        <v>680</v>
      </c>
      <c r="D33" s="364" t="s">
        <v>23</v>
      </c>
      <c r="E33" s="364" t="s">
        <v>222</v>
      </c>
      <c r="F33" s="692"/>
    </row>
    <row r="34" spans="1:6">
      <c r="A34" s="527" t="str">
        <f>Tb_SC[[#This Row],[Production loc]]&amp;Tb_SC[[#This Row],[Production method]]&amp;Tb_SC[[#This Row],[Electricity source]]</f>
        <v>QatarSMR-</v>
      </c>
      <c r="B34" s="364" t="str">
        <f>Tb_SC[[#This Row],[Production loc]]&amp;COUNTIF($C$4:C34,C34)</f>
        <v>Qatar1</v>
      </c>
      <c r="C34" s="364" t="s">
        <v>22</v>
      </c>
      <c r="D34" s="364" t="s">
        <v>671</v>
      </c>
      <c r="E34" s="364" t="s">
        <v>222</v>
      </c>
      <c r="F34" s="692"/>
    </row>
    <row r="35" spans="1:6">
      <c r="A35" s="545" t="str">
        <f>Tb_SC[[#This Row],[Production loc]]&amp;Tb_SC[[#This Row],[Production method]]&amp;Tb_SC[[#This Row],[Electricity source]]</f>
        <v>QatarPyrolysis-</v>
      </c>
      <c r="B35" s="546" t="str">
        <f>Tb_SC[[#This Row],[Production loc]]&amp;COUNTIF($C$4:C35,C35)</f>
        <v>Qatar2</v>
      </c>
      <c r="C35" s="546" t="s">
        <v>22</v>
      </c>
      <c r="D35" s="546" t="s">
        <v>23</v>
      </c>
      <c r="E35" s="546" t="s">
        <v>222</v>
      </c>
      <c r="F35" s="837"/>
    </row>
  </sheetData>
  <sheetProtection algorithmName="SHA-512" hashValue="2L89IeR++fdpgpPRrOELJqHN4bvIjBMA9giSzN9XG8fsjMFh/4NnTeCIDo9GLaw6ObAwEqG/zG2PpEuc0gssVw==" saltValue="zrKeO0FUSnfmej6msUW33g==" spinCount="100000" sheet="1" objects="1" scenarios="1"/>
  <pageMargins left="0.7" right="0.7" top="0.75" bottom="0.75" header="0.3" footer="0.3"/>
  <pageSetup paperSize="9"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DEE2-1711-5045-BB0C-F70B194F2972}">
  <dimension ref="A1:M59"/>
  <sheetViews>
    <sheetView zoomScale="75" zoomScaleNormal="50" workbookViewId="0">
      <selection activeCell="F19" sqref="F19"/>
    </sheetView>
  </sheetViews>
  <sheetFormatPr baseColWidth="10" defaultColWidth="10.5" defaultRowHeight="16"/>
  <cols>
    <col min="1" max="1" width="45.5" style="280" bestFit="1" customWidth="1"/>
    <col min="2" max="3" width="26.83203125" style="280" bestFit="1" customWidth="1"/>
    <col min="4" max="4" width="15" style="280" bestFit="1" customWidth="1"/>
    <col min="5" max="5" width="15.83203125" style="280" customWidth="1"/>
    <col min="6" max="6" width="23.5" style="280" customWidth="1"/>
    <col min="7" max="7" width="16.5" style="280" customWidth="1"/>
    <col min="8" max="8" width="24.83203125" style="280" bestFit="1" customWidth="1"/>
    <col min="9" max="9" width="13" style="280" customWidth="1"/>
    <col min="10" max="10" width="43.5" style="280" bestFit="1" customWidth="1"/>
    <col min="11" max="11" width="80.6640625" style="280" bestFit="1" customWidth="1"/>
    <col min="12" max="16384" width="10.5" style="280"/>
  </cols>
  <sheetData>
    <row r="1" spans="1:13">
      <c r="A1" s="540" t="s">
        <v>681</v>
      </c>
      <c r="B1" s="541" t="s">
        <v>682</v>
      </c>
      <c r="C1" s="51" t="s">
        <v>683</v>
      </c>
      <c r="D1" s="541"/>
      <c r="E1" s="541" t="s">
        <v>684</v>
      </c>
      <c r="F1" s="541" t="s">
        <v>21</v>
      </c>
      <c r="G1" s="541">
        <v>357114</v>
      </c>
      <c r="H1" s="541" t="s">
        <v>685</v>
      </c>
      <c r="I1" s="824" t="s">
        <v>686</v>
      </c>
      <c r="J1" s="280" t="s">
        <v>280</v>
      </c>
    </row>
    <row r="2" spans="1:13">
      <c r="A2" s="527"/>
      <c r="B2" s="364" t="s">
        <v>687</v>
      </c>
      <c r="C2" s="41" t="s">
        <v>688</v>
      </c>
      <c r="D2" s="364"/>
      <c r="E2" s="364"/>
      <c r="F2" s="364" t="s">
        <v>152</v>
      </c>
      <c r="G2" s="364">
        <v>551695</v>
      </c>
      <c r="H2" s="364" t="s">
        <v>685</v>
      </c>
      <c r="I2" s="43" t="s">
        <v>686</v>
      </c>
      <c r="J2" s="280" t="s">
        <v>280</v>
      </c>
    </row>
    <row r="3" spans="1:13">
      <c r="A3" s="527"/>
      <c r="B3" s="364" t="s">
        <v>689</v>
      </c>
      <c r="C3" s="41" t="s">
        <v>690</v>
      </c>
      <c r="D3" s="364"/>
      <c r="E3" s="364"/>
      <c r="F3" s="364" t="s">
        <v>153</v>
      </c>
      <c r="G3" s="364">
        <v>505992</v>
      </c>
      <c r="H3" s="364" t="s">
        <v>685</v>
      </c>
      <c r="I3" s="43" t="s">
        <v>686</v>
      </c>
      <c r="J3" s="280" t="s">
        <v>280</v>
      </c>
    </row>
    <row r="4" spans="1:13">
      <c r="A4" s="545"/>
      <c r="B4" s="546" t="s">
        <v>691</v>
      </c>
      <c r="C4" s="135" t="s">
        <v>692</v>
      </c>
      <c r="D4" s="546"/>
      <c r="E4" s="546"/>
      <c r="F4" s="546"/>
      <c r="G4" s="546"/>
      <c r="H4" s="546"/>
      <c r="I4" s="840"/>
    </row>
    <row r="6" spans="1:13">
      <c r="A6" s="540" t="str">
        <f>Tb_SR[[#Headers],[Code]]</f>
        <v>Code</v>
      </c>
      <c r="B6" s="541" t="str">
        <f>Tb_SR[[#Headers],[Code1]]</f>
        <v>Code1</v>
      </c>
      <c r="C6" s="541" t="str">
        <f>Tb_SR[[#Headers],[Supply route]]</f>
        <v>Supply route</v>
      </c>
      <c r="D6" s="541" t="str">
        <f>Tb_SR[[#Headers],[Production loc]]</f>
        <v>Production loc</v>
      </c>
      <c r="E6" s="541" t="str">
        <f>Tb_SR[[#Headers],[Transmission by sea]]</f>
        <v>Transmission by sea</v>
      </c>
      <c r="F6" s="541" t="str">
        <f>Tb_SR[[#Headers],[Transmission by sea - Distance '[km']]]</f>
        <v>Transmission by sea - Distance [km]</v>
      </c>
      <c r="G6" s="541" t="str">
        <f>Tb_SR[[#Headers],[Transmission by land]]</f>
        <v>Transmission by land</v>
      </c>
      <c r="H6" s="541" t="str">
        <f>Tb_SR[[#Headers],[Transmission by land - Distance '[km']]]</f>
        <v>Transmission by land - Distance [km]</v>
      </c>
      <c r="I6" s="541" t="str">
        <f>Tb_SR[[#Headers],[Transmission by land - Distance '[km'] (border/harbor)]]</f>
        <v>Transmission by land - Distance [km] (border/harbor)</v>
      </c>
      <c r="J6" s="541" t="str">
        <f>Tb_SR[[#Headers],[Destination]]</f>
        <v>Destination</v>
      </c>
      <c r="K6" s="842" t="str">
        <f>Tb_SR[[#Headers],[Additional comments]]</f>
        <v>Additional comments</v>
      </c>
    </row>
    <row r="7" spans="1:13" ht="17" thickBot="1">
      <c r="A7" s="843">
        <v>1</v>
      </c>
      <c r="B7" s="844">
        <v>2</v>
      </c>
      <c r="C7" s="844">
        <v>3</v>
      </c>
      <c r="D7" s="844">
        <v>4</v>
      </c>
      <c r="E7" s="844">
        <v>5</v>
      </c>
      <c r="F7" s="844">
        <v>6</v>
      </c>
      <c r="G7" s="844">
        <v>7</v>
      </c>
      <c r="H7" s="844">
        <v>8</v>
      </c>
      <c r="I7" s="844">
        <v>9</v>
      </c>
      <c r="J7" s="844">
        <v>10</v>
      </c>
      <c r="K7" s="845">
        <v>11</v>
      </c>
    </row>
    <row r="8" spans="1:13" ht="17" thickBot="1">
      <c r="A8" s="846" t="s">
        <v>662</v>
      </c>
      <c r="B8" s="847" t="s">
        <v>663</v>
      </c>
      <c r="C8" s="847" t="s">
        <v>693</v>
      </c>
      <c r="D8" s="847" t="s">
        <v>664</v>
      </c>
      <c r="E8" s="847" t="s">
        <v>88</v>
      </c>
      <c r="F8" s="847" t="s">
        <v>694</v>
      </c>
      <c r="G8" s="847" t="s">
        <v>89</v>
      </c>
      <c r="H8" s="847" t="s">
        <v>695</v>
      </c>
      <c r="I8" s="847" t="s">
        <v>696</v>
      </c>
      <c r="J8" s="847" t="s">
        <v>697</v>
      </c>
      <c r="K8" s="848" t="s">
        <v>72</v>
      </c>
    </row>
    <row r="9" spans="1:13">
      <c r="A9" s="527" t="str">
        <f>Tb_SR[[#This Row],[Production loc]]&amp;Tb_SR[[#This Row],[Transmission by sea]]&amp;Tb_SR[[#This Row],[Transmission by land]]&amp;Tb_SR[[#This Row],[Destination]]</f>
        <v>Chile(Onshore wind)ShipPipelineGermany</v>
      </c>
      <c r="B9" s="364" t="str">
        <f>Tb_SR[[#This Row],[Production loc]]&amp;Tb_SR[[#This Row],[Destination]]&amp;COUNTIF($C$9:C9,C9)</f>
        <v>Chile(Onshore wind)Germany1</v>
      </c>
      <c r="C9" s="364" t="str">
        <f>Tb_SR[[#This Row],[Production loc]]&amp;" - "&amp;Tb_SR[[#This Row],[Destination]]</f>
        <v>Chile(Onshore wind) - Germany</v>
      </c>
      <c r="D9" s="364" t="s">
        <v>698</v>
      </c>
      <c r="E9" s="364" t="s">
        <v>24</v>
      </c>
      <c r="F9" s="551">
        <v>12512</v>
      </c>
      <c r="G9" s="364" t="s">
        <v>25</v>
      </c>
      <c r="H9" s="551">
        <f>SQRT($G$1/PI())</f>
        <v>337.15414381946761</v>
      </c>
      <c r="I9" s="551">
        <f>Tb_SR[[#This Row],[Transmission by land - Distance '[km']]]-SQRT($G$1/PI())</f>
        <v>0</v>
      </c>
      <c r="J9" s="364" t="s">
        <v>21</v>
      </c>
      <c r="K9" s="692"/>
    </row>
    <row r="10" spans="1:13">
      <c r="A10" s="527" t="str">
        <f>Tb_SR[[#This Row],[Production loc]]&amp;Tb_SR[[#This Row],[Transmission by sea]]&amp;Tb_SR[[#This Row],[Transmission by land]]&amp;Tb_SR[[#This Row],[Destination]]</f>
        <v>Chile(Solar)ShipPipelineGermany</v>
      </c>
      <c r="B10" s="364" t="str">
        <f>Tb_SR[[#This Row],[Production loc]]&amp;Tb_SR[[#This Row],[Destination]]&amp;COUNTIF($C$9:C10,C10)</f>
        <v>Chile(Solar)Germany1</v>
      </c>
      <c r="C10" s="364" t="str">
        <f>Tb_SR[[#This Row],[Production loc]]&amp;" - "&amp;Tb_SR[[#This Row],[Destination]]</f>
        <v>Chile(Solar) - Germany</v>
      </c>
      <c r="D10" s="364" t="s">
        <v>699</v>
      </c>
      <c r="E10" s="364" t="s">
        <v>24</v>
      </c>
      <c r="F10" s="551">
        <v>12512</v>
      </c>
      <c r="G10" s="364" t="s">
        <v>25</v>
      </c>
      <c r="H10" s="551">
        <f t="shared" ref="H10:H19" si="0">SQRT($G$1/PI())</f>
        <v>337.15414381946761</v>
      </c>
      <c r="I10" s="551">
        <f>Tb_SR[[#This Row],[Transmission by land - Distance '[km']]]-SQRT($G$1/PI())</f>
        <v>0</v>
      </c>
      <c r="J10" s="364" t="s">
        <v>21</v>
      </c>
      <c r="K10" s="692"/>
    </row>
    <row r="11" spans="1:13">
      <c r="A11" s="527" t="str">
        <f>Tb_SR[[#This Row],[Production loc]]&amp;Tb_SR[[#This Row],[Transmission by sea]]&amp;Tb_SR[[#This Row],[Transmission by land]]&amp;Tb_SR[[#This Row],[Destination]]</f>
        <v>Australia(Onshore wind)ShipPipelineGermany</v>
      </c>
      <c r="B11" s="364" t="str">
        <f>Tb_SR[[#This Row],[Production loc]]&amp;Tb_SR[[#This Row],[Destination]]&amp;COUNTIF($C$9:C11,C11)</f>
        <v>Australia(Onshore wind)Germany1</v>
      </c>
      <c r="C11" s="364" t="str">
        <f>Tb_SR[[#This Row],[Production loc]]&amp;" - "&amp;Tb_SR[[#This Row],[Destination]]</f>
        <v>Australia(Onshore wind) - Germany</v>
      </c>
      <c r="D11" s="364" t="s">
        <v>700</v>
      </c>
      <c r="E11" s="364" t="s">
        <v>24</v>
      </c>
      <c r="F11" s="551">
        <f>21212-2500</f>
        <v>18712</v>
      </c>
      <c r="G11" s="364" t="s">
        <v>25</v>
      </c>
      <c r="H11" s="551">
        <f t="shared" si="0"/>
        <v>337.15414381946761</v>
      </c>
      <c r="I11" s="551">
        <f>Tb_SR[[#This Row],[Transmission by land - Distance '[km']]]-SQRT($G$1/PI())</f>
        <v>0</v>
      </c>
      <c r="J11" s="364" t="s">
        <v>21</v>
      </c>
      <c r="K11" s="692"/>
    </row>
    <row r="12" spans="1:13">
      <c r="A12" s="527" t="str">
        <f>Tb_SR[[#This Row],[Production loc]]&amp;Tb_SR[[#This Row],[Transmission by sea]]&amp;Tb_SR[[#This Row],[Transmission by land]]&amp;Tb_SR[[#This Row],[Destination]]</f>
        <v>Australia(Solar)ShipPipelineGermany</v>
      </c>
      <c r="B12" s="364" t="str">
        <f>Tb_SR[[#This Row],[Production loc]]&amp;Tb_SR[[#This Row],[Destination]]&amp;COUNTIF($C$9:C12,C12)</f>
        <v>Australia(Solar)Germany1</v>
      </c>
      <c r="C12" s="364" t="str">
        <f>Tb_SR[[#This Row],[Production loc]]&amp;" - "&amp;Tb_SR[[#This Row],[Destination]]</f>
        <v>Australia(Solar) - Germany</v>
      </c>
      <c r="D12" s="364" t="s">
        <v>701</v>
      </c>
      <c r="E12" s="364" t="s">
        <v>24</v>
      </c>
      <c r="F12" s="551">
        <f>21212-2500</f>
        <v>18712</v>
      </c>
      <c r="G12" s="364" t="s">
        <v>25</v>
      </c>
      <c r="H12" s="551">
        <f t="shared" si="0"/>
        <v>337.15414381946761</v>
      </c>
      <c r="I12" s="551">
        <f>Tb_SR[[#This Row],[Transmission by land - Distance '[km']]]-SQRT($G$1/PI())</f>
        <v>0</v>
      </c>
      <c r="J12" s="364" t="s">
        <v>21</v>
      </c>
      <c r="K12" s="692"/>
    </row>
    <row r="13" spans="1:13">
      <c r="A13" s="527" t="str">
        <f>Tb_SR[[#This Row],[Production loc]]&amp;Tb_SR[[#This Row],[Transmission by sea]]&amp;Tb_SR[[#This Row],[Transmission by land]]&amp;Tb_SR[[#This Row],[Destination]]</f>
        <v>Algeria(Onshore wind)ShipPipelineGermany</v>
      </c>
      <c r="B13" s="364" t="str">
        <f>Tb_SR[[#This Row],[Production loc]]&amp;Tb_SR[[#This Row],[Destination]]&amp;COUNTIF($C$9:C13,C13)</f>
        <v>Algeria(Onshore wind)Germany1</v>
      </c>
      <c r="C13" s="364" t="str">
        <f>Tb_SR[[#This Row],[Production loc]]&amp;" - "&amp;Tb_SR[[#This Row],[Destination]]</f>
        <v>Algeria(Onshore wind) - Germany</v>
      </c>
      <c r="D13" s="364" t="s">
        <v>702</v>
      </c>
      <c r="E13" s="364" t="s">
        <v>24</v>
      </c>
      <c r="F13" s="551">
        <v>3174</v>
      </c>
      <c r="G13" s="364" t="s">
        <v>25</v>
      </c>
      <c r="H13" s="551">
        <f t="shared" si="0"/>
        <v>337.15414381946761</v>
      </c>
      <c r="I13" s="551">
        <f>Tb_SR[[#This Row],[Transmission by land - Distance '[km']]]-SQRT($G$1/PI())</f>
        <v>0</v>
      </c>
      <c r="J13" s="364" t="s">
        <v>21</v>
      </c>
      <c r="K13" s="692"/>
    </row>
    <row r="14" spans="1:13">
      <c r="A14" s="527" t="str">
        <f>Tb_SR[[#This Row],[Production loc]]&amp;Tb_SR[[#This Row],[Transmission by sea]]&amp;Tb_SR[[#This Row],[Transmission by land]]&amp;Tb_SR[[#This Row],[Destination]]</f>
        <v>Algeria(Onshore wind)PipelinePipelineGermany</v>
      </c>
      <c r="B14" s="364" t="str">
        <f>Tb_SR[[#This Row],[Production loc]]&amp;Tb_SR[[#This Row],[Destination]]&amp;COUNTIF($C$9:C14,C14)</f>
        <v>Algeria(Onshore wind)Germany2</v>
      </c>
      <c r="C14" s="364" t="str">
        <f>Tb_SR[[#This Row],[Production loc]]&amp;" - "&amp;Tb_SR[[#This Row],[Destination]]</f>
        <v>Algeria(Onshore wind) - Germany</v>
      </c>
      <c r="D14" s="364" t="s">
        <v>702</v>
      </c>
      <c r="E14" s="364" t="s">
        <v>25</v>
      </c>
      <c r="F14" s="551">
        <v>155</v>
      </c>
      <c r="G14" s="364" t="s">
        <v>25</v>
      </c>
      <c r="H14" s="551">
        <f>550+370+340+1300+SQRT(41865/PI())</f>
        <v>2675.4384831201642</v>
      </c>
      <c r="I14" s="551">
        <f>Tb_SR[[#This Row],[Transmission by land - Distance '[km']]]-SQRT($G$1/PI())</f>
        <v>2338.2843393006965</v>
      </c>
      <c r="J14" s="364" t="s">
        <v>21</v>
      </c>
      <c r="K14" s="692" t="s">
        <v>703</v>
      </c>
    </row>
    <row r="15" spans="1:13">
      <c r="A15" s="527" t="str">
        <f>Tb_SR[[#This Row],[Production loc]]&amp;Tb_SR[[#This Row],[Transmission by sea]]&amp;Tb_SR[[#This Row],[Transmission by land]]&amp;Tb_SR[[#This Row],[Destination]]</f>
        <v>Algeria(Solar)ShipPipelineGermany</v>
      </c>
      <c r="B15" s="364" t="str">
        <f>Tb_SR[[#This Row],[Production loc]]&amp;Tb_SR[[#This Row],[Destination]]&amp;COUNTIF($C$9:C15,C15)</f>
        <v>Algeria(Solar)Germany1</v>
      </c>
      <c r="C15" s="364" t="str">
        <f>Tb_SR[[#This Row],[Production loc]]&amp;" - "&amp;Tb_SR[[#This Row],[Destination]]</f>
        <v>Algeria(Solar) - Germany</v>
      </c>
      <c r="D15" s="364" t="s">
        <v>704</v>
      </c>
      <c r="E15" s="364" t="s">
        <v>24</v>
      </c>
      <c r="F15" s="551">
        <v>3174</v>
      </c>
      <c r="G15" s="364" t="s">
        <v>25</v>
      </c>
      <c r="H15" s="551">
        <f t="shared" si="0"/>
        <v>337.15414381946761</v>
      </c>
      <c r="I15" s="551">
        <f>Tb_SR[[#This Row],[Transmission by land - Distance '[km']]]-SQRT($G$1/PI())</f>
        <v>0</v>
      </c>
      <c r="J15" s="364" t="s">
        <v>21</v>
      </c>
      <c r="K15" s="692"/>
    </row>
    <row r="16" spans="1:13">
      <c r="A16" s="527" t="str">
        <f>Tb_SR[[#This Row],[Production loc]]&amp;Tb_SR[[#This Row],[Transmission by sea]]&amp;Tb_SR[[#This Row],[Transmission by land]]&amp;Tb_SR[[#This Row],[Destination]]</f>
        <v>Algeria(Solar)PipelinePipelineGermany</v>
      </c>
      <c r="B16" s="364" t="str">
        <f>Tb_SR[[#This Row],[Production loc]]&amp;Tb_SR[[#This Row],[Destination]]&amp;COUNTIF($C$9:C16,C16)</f>
        <v>Algeria(Solar)Germany2</v>
      </c>
      <c r="C16" s="364" t="str">
        <f>Tb_SR[[#This Row],[Production loc]]&amp;" - "&amp;Tb_SR[[#This Row],[Destination]]</f>
        <v>Algeria(Solar) - Germany</v>
      </c>
      <c r="D16" s="364" t="s">
        <v>704</v>
      </c>
      <c r="E16" s="364" t="s">
        <v>25</v>
      </c>
      <c r="F16" s="551">
        <v>155</v>
      </c>
      <c r="G16" s="364" t="s">
        <v>25</v>
      </c>
      <c r="H16" s="551">
        <f>550+370+340+1300+SQRT(41865/PI())</f>
        <v>2675.4384831201642</v>
      </c>
      <c r="I16" s="551">
        <f>Tb_SR[[#This Row],[Transmission by land - Distance '[km']]]-SQRT($G$1/PI())</f>
        <v>2338.2843393006965</v>
      </c>
      <c r="J16" s="364" t="s">
        <v>21</v>
      </c>
      <c r="K16" s="692" t="s">
        <v>703</v>
      </c>
      <c r="M16" s="849"/>
    </row>
    <row r="17" spans="1:11">
      <c r="A17" s="527" t="str">
        <f>Tb_SR[[#This Row],[Production loc]]&amp;Tb_SR[[#This Row],[Transmission by sea]]&amp;Tb_SR[[#This Row],[Transmission by land]]&amp;Tb_SR[[#This Row],[Destination]]</f>
        <v>Algeria()ShipPipelineGermany</v>
      </c>
      <c r="B17" s="364" t="str">
        <f>Tb_SR[[#This Row],[Production loc]]&amp;Tb_SR[[#This Row],[Destination]]&amp;COUNTIF($C$9:C17,C17)</f>
        <v>Algeria()Germany1</v>
      </c>
      <c r="C17" s="364" t="str">
        <f>Tb_SR[[#This Row],[Production loc]]&amp;" - "&amp;Tb_SR[[#This Row],[Destination]]</f>
        <v>Algeria() - Germany</v>
      </c>
      <c r="D17" s="364" t="s">
        <v>705</v>
      </c>
      <c r="E17" s="364" t="s">
        <v>24</v>
      </c>
      <c r="F17" s="551">
        <v>3174</v>
      </c>
      <c r="G17" s="364" t="s">
        <v>25</v>
      </c>
      <c r="H17" s="551">
        <f t="shared" si="0"/>
        <v>337.15414381946761</v>
      </c>
      <c r="I17" s="551">
        <f>Tb_SR[[#This Row],[Transmission by land - Distance '[km']]]-SQRT($G$1/PI())</f>
        <v>0</v>
      </c>
      <c r="J17" s="364" t="s">
        <v>21</v>
      </c>
      <c r="K17" s="692"/>
    </row>
    <row r="18" spans="1:11">
      <c r="A18" s="527" t="str">
        <f>Tb_SR[[#This Row],[Production loc]]&amp;Tb_SR[[#This Row],[Transmission by sea]]&amp;Tb_SR[[#This Row],[Transmission by land]]&amp;Tb_SR[[#This Row],[Destination]]</f>
        <v>Algeria()PipelinePipelineGermany</v>
      </c>
      <c r="B18" s="364" t="str">
        <f>Tb_SR[[#This Row],[Production loc]]&amp;Tb_SR[[#This Row],[Destination]]&amp;COUNTIF($C$9:C18,C18)</f>
        <v>Algeria()Germany2</v>
      </c>
      <c r="C18" s="364" t="str">
        <f>Tb_SR[[#This Row],[Production loc]]&amp;" - "&amp;Tb_SR[[#This Row],[Destination]]</f>
        <v>Algeria() - Germany</v>
      </c>
      <c r="D18" s="364" t="s">
        <v>705</v>
      </c>
      <c r="E18" s="364" t="s">
        <v>25</v>
      </c>
      <c r="F18" s="551">
        <v>155</v>
      </c>
      <c r="G18" s="364" t="s">
        <v>25</v>
      </c>
      <c r="H18" s="551">
        <f>550+370+340+1300+SQRT(41865/PI())</f>
        <v>2675.4384831201642</v>
      </c>
      <c r="I18" s="551">
        <f>Tb_SR[[#This Row],[Transmission by land - Distance '[km']]]-SQRT($G$1/PI())</f>
        <v>2338.2843393006965</v>
      </c>
      <c r="J18" s="364" t="s">
        <v>21</v>
      </c>
      <c r="K18" s="692" t="s">
        <v>703</v>
      </c>
    </row>
    <row r="19" spans="1:11">
      <c r="A19" s="527" t="str">
        <f>Tb_SR[[#This Row],[Production loc]]&amp;Tb_SR[[#This Row],[Transmission by sea]]&amp;Tb_SR[[#This Row],[Transmission by land]]&amp;Tb_SR[[#This Row],[Destination]]</f>
        <v>Saudi Arabia(Onshore wind)ShipPipelineGermany</v>
      </c>
      <c r="B19" s="364" t="str">
        <f>Tb_SR[[#This Row],[Production loc]]&amp;Tb_SR[[#This Row],[Destination]]&amp;COUNTIF($C$9:C19,C19)</f>
        <v>Saudi Arabia(Onshore wind)Germany1</v>
      </c>
      <c r="C19" s="364" t="str">
        <f>Tb_SR[[#This Row],[Production loc]]&amp;" - "&amp;Tb_SR[[#This Row],[Destination]]</f>
        <v>Saudi Arabia(Onshore wind) - Germany</v>
      </c>
      <c r="D19" s="364" t="s">
        <v>706</v>
      </c>
      <c r="E19" s="364" t="s">
        <v>24</v>
      </c>
      <c r="F19" s="551">
        <v>8294</v>
      </c>
      <c r="G19" s="364" t="s">
        <v>25</v>
      </c>
      <c r="H19" s="551">
        <f t="shared" si="0"/>
        <v>337.15414381946761</v>
      </c>
      <c r="I19" s="551">
        <f>Tb_SR[[#This Row],[Transmission by land - Distance '[km']]]-SQRT($G$1/PI())</f>
        <v>0</v>
      </c>
      <c r="J19" s="364" t="s">
        <v>21</v>
      </c>
      <c r="K19" s="692"/>
    </row>
    <row r="20" spans="1:11">
      <c r="A20" s="527" t="str">
        <f>Tb_SR[[#This Row],[Production loc]]&amp;Tb_SR[[#This Row],[Transmission by sea]]&amp;Tb_SR[[#This Row],[Transmission by land]]&amp;Tb_SR[[#This Row],[Destination]]</f>
        <v>Saudi Arabia(Solar)ShipPipelineGermany</v>
      </c>
      <c r="B20" s="364" t="str">
        <f>Tb_SR[[#This Row],[Production loc]]&amp;Tb_SR[[#This Row],[Destination]]&amp;COUNTIF($C$9:C20,C20)</f>
        <v>Saudi Arabia(Solar)Germany1</v>
      </c>
      <c r="C20" s="364" t="str">
        <f>Tb_SR[[#This Row],[Production loc]]&amp;" - "&amp;Tb_SR[[#This Row],[Destination]]</f>
        <v>Saudi Arabia(Solar) - Germany</v>
      </c>
      <c r="D20" s="364" t="s">
        <v>707</v>
      </c>
      <c r="E20" s="364" t="s">
        <v>24</v>
      </c>
      <c r="F20" s="551">
        <v>8294</v>
      </c>
      <c r="G20" s="364" t="s">
        <v>25</v>
      </c>
      <c r="H20" s="551">
        <f>SQRT($G$1/PI())</f>
        <v>337.15414381946761</v>
      </c>
      <c r="I20" s="551">
        <f>Tb_SR[[#This Row],[Transmission by land - Distance '[km']]]-SQRT($G$1/PI())</f>
        <v>0</v>
      </c>
      <c r="J20" s="364" t="s">
        <v>21</v>
      </c>
      <c r="K20" s="692"/>
    </row>
    <row r="21" spans="1:11">
      <c r="A21" s="527" t="str">
        <f>Tb_SR[[#This Row],[Production loc]]&amp;Tb_SR[[#This Row],[Transmission by sea]]&amp;Tb_SR[[#This Row],[Transmission by land]]&amp;Tb_SR[[#This Row],[Destination]]</f>
        <v>Saudi Arabia(Onshore wind)PipelinePipelineGermany</v>
      </c>
      <c r="B21" s="364" t="str">
        <f>Tb_SR[[#This Row],[Production loc]]&amp;Tb_SR[[#This Row],[Destination]]&amp;COUNTIF($C$9:C21,C21)</f>
        <v>Saudi Arabia(Onshore wind)Germany2</v>
      </c>
      <c r="C21" s="364" t="str">
        <f>Tb_SR[[#This Row],[Production loc]]&amp;" - "&amp;Tb_SR[[#This Row],[Destination]]</f>
        <v>Saudi Arabia(Onshore wind) - Germany</v>
      </c>
      <c r="D21" s="364" t="s">
        <v>706</v>
      </c>
      <c r="E21" s="364" t="s">
        <v>25</v>
      </c>
      <c r="F21" s="551">
        <v>2000</v>
      </c>
      <c r="G21" s="364" t="s">
        <v>25</v>
      </c>
      <c r="H21" s="551">
        <f>500+340+1300+SQRT($G$1/PI())</f>
        <v>2477.1541438194677</v>
      </c>
      <c r="I21" s="551">
        <f>Tb_SR[[#This Row],[Transmission by land - Distance '[km']]]-SQRT($G$1/PI())</f>
        <v>2140</v>
      </c>
      <c r="J21" s="364" t="s">
        <v>21</v>
      </c>
      <c r="K21" s="692"/>
    </row>
    <row r="22" spans="1:11">
      <c r="A22" s="527" t="str">
        <f>Tb_SR[[#This Row],[Production loc]]&amp;Tb_SR[[#This Row],[Transmission by sea]]&amp;Tb_SR[[#This Row],[Transmission by land]]&amp;Tb_SR[[#This Row],[Destination]]</f>
        <v>Saudi Arabia(Solar)PipelinePipelineGermany</v>
      </c>
      <c r="B22" s="364" t="str">
        <f>Tb_SR[[#This Row],[Production loc]]&amp;Tb_SR[[#This Row],[Destination]]&amp;COUNTIF($C$9:C22,C22)</f>
        <v>Saudi Arabia(Solar)Germany2</v>
      </c>
      <c r="C22" s="364" t="str">
        <f>Tb_SR[[#This Row],[Production loc]]&amp;" - "&amp;Tb_SR[[#This Row],[Destination]]</f>
        <v>Saudi Arabia(Solar) - Germany</v>
      </c>
      <c r="D22" s="364" t="s">
        <v>707</v>
      </c>
      <c r="E22" s="364" t="s">
        <v>25</v>
      </c>
      <c r="F22" s="551">
        <v>2000</v>
      </c>
      <c r="G22" s="364" t="s">
        <v>25</v>
      </c>
      <c r="H22" s="551">
        <f>500+340+1300+SQRT($G$1/PI())</f>
        <v>2477.1541438194677</v>
      </c>
      <c r="I22" s="551">
        <f>Tb_SR[[#This Row],[Transmission by land - Distance '[km']]]-SQRT($G$1/PI())</f>
        <v>2140</v>
      </c>
      <c r="J22" s="364" t="s">
        <v>21</v>
      </c>
      <c r="K22" s="692"/>
    </row>
    <row r="23" spans="1:11">
      <c r="A23" s="527" t="str">
        <f>Tb_SR[[#This Row],[Production loc]]&amp;Tb_SR[[#This Row],[Transmission by sea]]&amp;Tb_SR[[#This Row],[Transmission by land]]&amp;Tb_SR[[#This Row],[Destination]]</f>
        <v>Norway()ShipPipelineGermany</v>
      </c>
      <c r="B23" s="364" t="str">
        <f>Tb_SR[[#This Row],[Production loc]]&amp;Tb_SR[[#This Row],[Destination]]&amp;COUNTIF($C$9:C23,C23)</f>
        <v>Norway()Germany1</v>
      </c>
      <c r="C23" s="364" t="str">
        <f>Tb_SR[[#This Row],[Production loc]]&amp;" - "&amp;Tb_SR[[#This Row],[Destination]]</f>
        <v>Norway() - Germany</v>
      </c>
      <c r="D23" s="364" t="s">
        <v>708</v>
      </c>
      <c r="E23" s="364" t="s">
        <v>24</v>
      </c>
      <c r="F23" s="551">
        <v>605</v>
      </c>
      <c r="G23" s="364" t="s">
        <v>25</v>
      </c>
      <c r="H23" s="551">
        <f t="shared" ref="H23:H24" si="1">SQRT($G$1/PI())</f>
        <v>337.15414381946761</v>
      </c>
      <c r="I23" s="551">
        <f>Tb_SR[[#This Row],[Transmission by land - Distance '[km']]]-SQRT($G$1/PI())</f>
        <v>0</v>
      </c>
      <c r="J23" s="364" t="s">
        <v>21</v>
      </c>
      <c r="K23" s="692"/>
    </row>
    <row r="24" spans="1:11">
      <c r="A24" s="527" t="str">
        <f>Tb_SR[[#This Row],[Production loc]]&amp;Tb_SR[[#This Row],[Transmission by sea]]&amp;Tb_SR[[#This Row],[Transmission by land]]&amp;Tb_SR[[#This Row],[Destination]]</f>
        <v>Norway()PipelinePipelineGermany</v>
      </c>
      <c r="B24" s="364" t="str">
        <f>Tb_SR[[#This Row],[Production loc]]&amp;Tb_SR[[#This Row],[Destination]]&amp;COUNTIF($C$9:C24,C24)</f>
        <v>Norway()Germany2</v>
      </c>
      <c r="C24" s="364" t="str">
        <f>Tb_SR[[#This Row],[Production loc]]&amp;" - "&amp;Tb_SR[[#This Row],[Destination]]</f>
        <v>Norway() - Germany</v>
      </c>
      <c r="D24" s="364" t="s">
        <v>708</v>
      </c>
      <c r="E24" s="364" t="s">
        <v>25</v>
      </c>
      <c r="F24" s="551">
        <v>670</v>
      </c>
      <c r="G24" s="364" t="s">
        <v>25</v>
      </c>
      <c r="H24" s="551">
        <f t="shared" si="1"/>
        <v>337.15414381946761</v>
      </c>
      <c r="I24" s="551">
        <f>Tb_SR[[#This Row],[Transmission by land - Distance '[km']]]-SQRT($G$1/PI())</f>
        <v>0</v>
      </c>
      <c r="J24" s="364" t="s">
        <v>21</v>
      </c>
      <c r="K24" s="692" t="s">
        <v>709</v>
      </c>
    </row>
    <row r="25" spans="1:11">
      <c r="A25" s="527" t="str">
        <f>Tb_SR[[#This Row],[Production loc]]&amp;Tb_SR[[#This Row],[Transmission by sea]]&amp;Tb_SR[[#This Row],[Transmission by land]]&amp;Tb_SR[[#This Row],[Destination]]</f>
        <v>Qatar()ShipPipelineGermany</v>
      </c>
      <c r="B25" s="364" t="str">
        <f>Tb_SR[[#This Row],[Production loc]]&amp;Tb_SR[[#This Row],[Destination]]&amp;COUNTIF($C$9:C25,C25)</f>
        <v>Qatar()Germany1</v>
      </c>
      <c r="C25" s="364" t="str">
        <f>Tb_SR[[#This Row],[Production loc]]&amp;" - "&amp;Tb_SR[[#This Row],[Destination]]</f>
        <v>Qatar() - Germany</v>
      </c>
      <c r="D25" s="364" t="s">
        <v>710</v>
      </c>
      <c r="E25" s="364" t="s">
        <v>24</v>
      </c>
      <c r="F25" s="551">
        <v>12830</v>
      </c>
      <c r="G25" s="364" t="s">
        <v>25</v>
      </c>
      <c r="H25" s="551">
        <f>SQRT($G$1/PI())</f>
        <v>337.15414381946761</v>
      </c>
      <c r="I25" s="551">
        <f>Tb_SR[[#This Row],[Transmission by land - Distance '[km']]]-SQRT($G$1/PI())</f>
        <v>0</v>
      </c>
      <c r="J25" s="364" t="s">
        <v>21</v>
      </c>
      <c r="K25" s="692"/>
    </row>
    <row r="26" spans="1:11">
      <c r="A26" s="527" t="str">
        <f>Tb_SR[[#This Row],[Production loc]]&amp;Tb_SR[[#This Row],[Transmission by sea]]&amp;Tb_SR[[#This Row],[Transmission by land]]&amp;Tb_SR[[#This Row],[Destination]]</f>
        <v>Qatar()PipelinePipelineGermany</v>
      </c>
      <c r="B26" s="364" t="str">
        <f>Tb_SR[[#This Row],[Production loc]]&amp;Tb_SR[[#This Row],[Destination]]&amp;COUNTIF($C$9:C26,C26)</f>
        <v>Qatar()Germany2</v>
      </c>
      <c r="C26" s="364" t="str">
        <f>Tb_SR[[#This Row],[Production loc]]&amp;" - "&amp;Tb_SR[[#This Row],[Destination]]</f>
        <v>Qatar() - Germany</v>
      </c>
      <c r="D26" s="364" t="s">
        <v>710</v>
      </c>
      <c r="E26" s="364" t="s">
        <v>25</v>
      </c>
      <c r="F26" s="551">
        <v>2000</v>
      </c>
      <c r="G26" s="364" t="s">
        <v>25</v>
      </c>
      <c r="H26" s="551">
        <f>1800+500+340+1300+SQRT($G$1/PI())</f>
        <v>4277.1541438194672</v>
      </c>
      <c r="I26" s="551">
        <f>Tb_SR[[#This Row],[Transmission by land - Distance '[km']]]-SQRT($G$1/PI())</f>
        <v>3939.9999999999995</v>
      </c>
      <c r="J26" s="364" t="s">
        <v>21</v>
      </c>
      <c r="K26" s="692"/>
    </row>
    <row r="27" spans="1:11">
      <c r="A27" s="527" t="str">
        <f>Tb_SR[[#This Row],[Production loc]]&amp;Tb_SR[[#This Row],[Transmission by sea]]&amp;Tb_SR[[#This Row],[Transmission by land]]&amp;Tb_SR[[#This Row],[Destination]]</f>
        <v>Spain(Solar)PipelinePipelineGermany</v>
      </c>
      <c r="B27" s="364" t="str">
        <f>Tb_SR[[#This Row],[Production loc]]&amp;Tb_SR[[#This Row],[Destination]]&amp;COUNTIF($C$9:C27,C27)</f>
        <v>Spain(Solar)Germany1</v>
      </c>
      <c r="C27" s="364" t="str">
        <f>Tb_SR[[#This Row],[Production loc]]&amp;" - "&amp;Tb_SR[[#This Row],[Destination]]</f>
        <v>Spain(Solar) - Germany</v>
      </c>
      <c r="D27" s="364" t="s">
        <v>711</v>
      </c>
      <c r="E27" s="364" t="s">
        <v>25</v>
      </c>
      <c r="F27" s="551">
        <v>0</v>
      </c>
      <c r="G27" s="364" t="s">
        <v>25</v>
      </c>
      <c r="H27" s="551">
        <f>SQRT($G$3/PI())+2*SQRT($G$2/PI())+SQRT($G$1/PI())</f>
        <v>1576.5966388380514</v>
      </c>
      <c r="I27" s="551">
        <f>Tb_SR[[#This Row],[Transmission by land - Distance '[km']]]-SQRT($G$1/PI())</f>
        <v>1239.4424950185837</v>
      </c>
      <c r="J27" s="364" t="s">
        <v>21</v>
      </c>
      <c r="K27" s="692"/>
    </row>
    <row r="28" spans="1:11">
      <c r="A28" s="527" t="str">
        <f>Tb_SR[[#This Row],[Production loc]]&amp;Tb_SR[[#This Row],[Transmission by sea]]&amp;Tb_SR[[#This Row],[Transmission by land]]&amp;Tb_SR[[#This Row],[Destination]]</f>
        <v>Chile(Onshore wind)ShipPipelineFrance</v>
      </c>
      <c r="B28" s="364" t="str">
        <f>Tb_SR[[#This Row],[Production loc]]&amp;Tb_SR[[#This Row],[Destination]]&amp;COUNTIF($C$9:C28,C28)</f>
        <v>Chile(Onshore wind)France1</v>
      </c>
      <c r="C28" s="364" t="str">
        <f>Tb_SR[[#This Row],[Production loc]]&amp;" - "&amp;Tb_SR[[#This Row],[Destination]]</f>
        <v>Chile(Onshore wind) - France</v>
      </c>
      <c r="D28" s="364" t="s">
        <v>698</v>
      </c>
      <c r="E28" s="364" t="s">
        <v>24</v>
      </c>
      <c r="F28" s="551">
        <v>14329</v>
      </c>
      <c r="G28" s="364" t="s">
        <v>25</v>
      </c>
      <c r="H28" s="551">
        <f>SQRT($G$2/PI())</f>
        <v>419.05843585133374</v>
      </c>
      <c r="I28" s="551">
        <f>Tb_SR[[#This Row],[Transmission by land - Distance '[km']]]-SQRT($G$2/PI())</f>
        <v>0</v>
      </c>
      <c r="J28" s="364" t="s">
        <v>152</v>
      </c>
      <c r="K28" s="692"/>
    </row>
    <row r="29" spans="1:11">
      <c r="A29" s="527" t="str">
        <f>Tb_SR[[#This Row],[Production loc]]&amp;Tb_SR[[#This Row],[Transmission by sea]]&amp;Tb_SR[[#This Row],[Transmission by land]]&amp;Tb_SR[[#This Row],[Destination]]</f>
        <v>Chile(Solar)ShipPipelineFrance</v>
      </c>
      <c r="B29" s="364" t="str">
        <f>Tb_SR[[#This Row],[Production loc]]&amp;Tb_SR[[#This Row],[Destination]]&amp;COUNTIF($C$9:C29,C29)</f>
        <v>Chile(Solar)France1</v>
      </c>
      <c r="C29" s="364" t="str">
        <f>Tb_SR[[#This Row],[Production loc]]&amp;" - "&amp;Tb_SR[[#This Row],[Destination]]</f>
        <v>Chile(Solar) - France</v>
      </c>
      <c r="D29" s="364" t="s">
        <v>699</v>
      </c>
      <c r="E29" s="364" t="s">
        <v>24</v>
      </c>
      <c r="F29" s="551">
        <v>14329</v>
      </c>
      <c r="G29" s="364" t="s">
        <v>25</v>
      </c>
      <c r="H29" s="551">
        <f t="shared" ref="H29:H31" si="2">SQRT($G$2/PI())</f>
        <v>419.05843585133374</v>
      </c>
      <c r="I29" s="551">
        <f>Tb_SR[[#This Row],[Transmission by land - Distance '[km']]]-SQRT($G$2/PI())</f>
        <v>0</v>
      </c>
      <c r="J29" s="364" t="s">
        <v>152</v>
      </c>
      <c r="K29" s="692"/>
    </row>
    <row r="30" spans="1:11">
      <c r="A30" s="527" t="str">
        <f>Tb_SR[[#This Row],[Production loc]]&amp;Tb_SR[[#This Row],[Transmission by sea]]&amp;Tb_SR[[#This Row],[Transmission by land]]&amp;Tb_SR[[#This Row],[Destination]]</f>
        <v>Australia(Onshore wind)ShipPipelineFrance</v>
      </c>
      <c r="B30" s="364" t="str">
        <f>Tb_SR[[#This Row],[Production loc]]&amp;Tb_SR[[#This Row],[Destination]]&amp;COUNTIF($C$9:C30,C30)</f>
        <v>Australia(Onshore wind)France1</v>
      </c>
      <c r="C30" s="364" t="str">
        <f>Tb_SR[[#This Row],[Production loc]]&amp;" - "&amp;Tb_SR[[#This Row],[Destination]]</f>
        <v>Australia(Onshore wind) - France</v>
      </c>
      <c r="D30" s="364" t="s">
        <v>700</v>
      </c>
      <c r="E30" s="364" t="s">
        <v>24</v>
      </c>
      <c r="F30" s="551">
        <f>16854-2500</f>
        <v>14354</v>
      </c>
      <c r="G30" s="364" t="s">
        <v>25</v>
      </c>
      <c r="H30" s="551">
        <f t="shared" si="2"/>
        <v>419.05843585133374</v>
      </c>
      <c r="I30" s="551">
        <f>Tb_SR[[#This Row],[Transmission by land - Distance '[km']]]-SQRT($G$2/PI())</f>
        <v>0</v>
      </c>
      <c r="J30" s="364" t="s">
        <v>152</v>
      </c>
      <c r="K30" s="692"/>
    </row>
    <row r="31" spans="1:11">
      <c r="A31" s="527" t="str">
        <f>Tb_SR[[#This Row],[Production loc]]&amp;Tb_SR[[#This Row],[Transmission by sea]]&amp;Tb_SR[[#This Row],[Transmission by land]]&amp;Tb_SR[[#This Row],[Destination]]</f>
        <v>Australia(Solar)ShipPipelineFrance</v>
      </c>
      <c r="B31" s="364" t="str">
        <f>Tb_SR[[#This Row],[Production loc]]&amp;Tb_SR[[#This Row],[Destination]]&amp;COUNTIF($C$9:C31,C31)</f>
        <v>Australia(Solar)France1</v>
      </c>
      <c r="C31" s="364" t="str">
        <f>Tb_SR[[#This Row],[Production loc]]&amp;" - "&amp;Tb_SR[[#This Row],[Destination]]</f>
        <v>Australia(Solar) - France</v>
      </c>
      <c r="D31" s="364" t="s">
        <v>701</v>
      </c>
      <c r="E31" s="364" t="s">
        <v>24</v>
      </c>
      <c r="F31" s="551">
        <f>16854-2500</f>
        <v>14354</v>
      </c>
      <c r="G31" s="364" t="s">
        <v>25</v>
      </c>
      <c r="H31" s="551">
        <f t="shared" si="2"/>
        <v>419.05843585133374</v>
      </c>
      <c r="I31" s="551">
        <f>Tb_SR[[#This Row],[Transmission by land - Distance '[km']]]-SQRT($G$2/PI())</f>
        <v>0</v>
      </c>
      <c r="J31" s="364" t="s">
        <v>152</v>
      </c>
      <c r="K31" s="692"/>
    </row>
    <row r="32" spans="1:11">
      <c r="A32" s="527" t="str">
        <f>Tb_SR[[#This Row],[Production loc]]&amp;Tb_SR[[#This Row],[Transmission by sea]]&amp;Tb_SR[[#This Row],[Transmission by land]]&amp;Tb_SR[[#This Row],[Destination]]</f>
        <v>Algeria(Onshore wind)ShipPipelineFrance</v>
      </c>
      <c r="B32" s="364" t="str">
        <f>Tb_SR[[#This Row],[Production loc]]&amp;Tb_SR[[#This Row],[Destination]]&amp;COUNTIF($C$9:C32,C32)</f>
        <v>Algeria(Onshore wind)France1</v>
      </c>
      <c r="C32" s="364" t="str">
        <f>Tb_SR[[#This Row],[Production loc]]&amp;" - "&amp;Tb_SR[[#This Row],[Destination]]</f>
        <v>Algeria(Onshore wind) - France</v>
      </c>
      <c r="D32" s="364" t="s">
        <v>702</v>
      </c>
      <c r="E32" s="364" t="s">
        <v>24</v>
      </c>
      <c r="F32" s="551">
        <v>864</v>
      </c>
      <c r="G32" s="364" t="s">
        <v>25</v>
      </c>
      <c r="H32" s="551">
        <f>SQRT($G$2/PI())</f>
        <v>419.05843585133374</v>
      </c>
      <c r="I32" s="551">
        <f>Tb_SR[[#This Row],[Transmission by land - Distance '[km']]]-SQRT($G$2/PI())</f>
        <v>0</v>
      </c>
      <c r="J32" s="364" t="s">
        <v>152</v>
      </c>
      <c r="K32" s="692"/>
    </row>
    <row r="33" spans="1:11">
      <c r="A33" s="527" t="str">
        <f>Tb_SR[[#This Row],[Production loc]]&amp;Tb_SR[[#This Row],[Transmission by sea]]&amp;Tb_SR[[#This Row],[Transmission by land]]&amp;Tb_SR[[#This Row],[Destination]]</f>
        <v>Algeria(Onshore wind)PipelinePipelineFrance</v>
      </c>
      <c r="B33" s="364" t="str">
        <f>Tb_SR[[#This Row],[Production loc]]&amp;Tb_SR[[#This Row],[Destination]]&amp;COUNTIF($C$9:C33,C33)</f>
        <v>Algeria(Onshore wind)France2</v>
      </c>
      <c r="C33" s="364" t="str">
        <f>Tb_SR[[#This Row],[Production loc]]&amp;" - "&amp;Tb_SR[[#This Row],[Destination]]</f>
        <v>Algeria(Onshore wind) - France</v>
      </c>
      <c r="D33" s="364" t="s">
        <v>702</v>
      </c>
      <c r="E33" s="364" t="s">
        <v>25</v>
      </c>
      <c r="F33" s="551">
        <f>F49</f>
        <v>210</v>
      </c>
      <c r="G33" s="364" t="s">
        <v>25</v>
      </c>
      <c r="H33" s="551">
        <f>547+2*SQRT($G$3/PI())+SQRT($G$2/PI())</f>
        <v>1768.709682483166</v>
      </c>
      <c r="I33" s="551">
        <f>Tb_SR[[#This Row],[Transmission by land - Distance '[km']]]-SQRT($G$2/PI())</f>
        <v>1349.6512466318322</v>
      </c>
      <c r="J33" s="364" t="s">
        <v>152</v>
      </c>
      <c r="K33" s="692"/>
    </row>
    <row r="34" spans="1:11">
      <c r="A34" s="527" t="str">
        <f>Tb_SR[[#This Row],[Production loc]]&amp;Tb_SR[[#This Row],[Transmission by sea]]&amp;Tb_SR[[#This Row],[Transmission by land]]&amp;Tb_SR[[#This Row],[Destination]]</f>
        <v>Algeria(Solar)ShipPipelineFrance</v>
      </c>
      <c r="B34" s="364" t="str">
        <f>Tb_SR[[#This Row],[Production loc]]&amp;Tb_SR[[#This Row],[Destination]]&amp;COUNTIF($C$9:C34,C34)</f>
        <v>Algeria(Solar)France1</v>
      </c>
      <c r="C34" s="364" t="str">
        <f>Tb_SR[[#This Row],[Production loc]]&amp;" - "&amp;Tb_SR[[#This Row],[Destination]]</f>
        <v>Algeria(Solar) - France</v>
      </c>
      <c r="D34" s="364" t="s">
        <v>704</v>
      </c>
      <c r="E34" s="364" t="s">
        <v>24</v>
      </c>
      <c r="F34" s="551">
        <v>864</v>
      </c>
      <c r="G34" s="364" t="s">
        <v>25</v>
      </c>
      <c r="H34" s="551">
        <f>SQRT($G$2/PI())</f>
        <v>419.05843585133374</v>
      </c>
      <c r="I34" s="551">
        <f>Tb_SR[[#This Row],[Transmission by land - Distance '[km']]]-SQRT($G$2/PI())</f>
        <v>0</v>
      </c>
      <c r="J34" s="364" t="s">
        <v>152</v>
      </c>
      <c r="K34" s="692"/>
    </row>
    <row r="35" spans="1:11">
      <c r="A35" s="527" t="str">
        <f>Tb_SR[[#This Row],[Production loc]]&amp;Tb_SR[[#This Row],[Transmission by sea]]&amp;Tb_SR[[#This Row],[Transmission by land]]&amp;Tb_SR[[#This Row],[Destination]]</f>
        <v>Algeria(Solar)PipelinePipelineFrance</v>
      </c>
      <c r="B35" s="364" t="str">
        <f>Tb_SR[[#This Row],[Production loc]]&amp;Tb_SR[[#This Row],[Destination]]&amp;COUNTIF($C$9:C35,C35)</f>
        <v>Algeria(Solar)France2</v>
      </c>
      <c r="C35" s="364" t="str">
        <f>Tb_SR[[#This Row],[Production loc]]&amp;" - "&amp;Tb_SR[[#This Row],[Destination]]</f>
        <v>Algeria(Solar) - France</v>
      </c>
      <c r="D35" s="364" t="s">
        <v>704</v>
      </c>
      <c r="E35" s="364" t="s">
        <v>25</v>
      </c>
      <c r="F35" s="551">
        <f>F49</f>
        <v>210</v>
      </c>
      <c r="G35" s="364" t="s">
        <v>25</v>
      </c>
      <c r="H35" s="551">
        <f>547+2*SQRT($G$3/PI())+SQRT($G$2/PI())</f>
        <v>1768.709682483166</v>
      </c>
      <c r="I35" s="551">
        <f>Tb_SR[[#This Row],[Transmission by land - Distance '[km']]]-SQRT($G$2/PI())</f>
        <v>1349.6512466318322</v>
      </c>
      <c r="J35" s="364" t="s">
        <v>152</v>
      </c>
      <c r="K35" s="692"/>
    </row>
    <row r="36" spans="1:11">
      <c r="A36" s="527" t="str">
        <f>Tb_SR[[#This Row],[Production loc]]&amp;Tb_SR[[#This Row],[Transmission by sea]]&amp;Tb_SR[[#This Row],[Transmission by land]]&amp;Tb_SR[[#This Row],[Destination]]</f>
        <v>Algeria()ShipPipelineFrance</v>
      </c>
      <c r="B36" s="364" t="str">
        <f>Tb_SR[[#This Row],[Production loc]]&amp;Tb_SR[[#This Row],[Destination]]&amp;COUNTIF($C$9:C36,C36)</f>
        <v>Algeria()France1</v>
      </c>
      <c r="C36" s="364" t="str">
        <f>Tb_SR[[#This Row],[Production loc]]&amp;" - "&amp;Tb_SR[[#This Row],[Destination]]</f>
        <v>Algeria() - France</v>
      </c>
      <c r="D36" s="364" t="s">
        <v>705</v>
      </c>
      <c r="E36" s="364" t="s">
        <v>24</v>
      </c>
      <c r="F36" s="551">
        <v>864</v>
      </c>
      <c r="G36" s="364" t="s">
        <v>25</v>
      </c>
      <c r="H36" s="551">
        <f>SQRT($G$2/PI())</f>
        <v>419.05843585133374</v>
      </c>
      <c r="I36" s="551">
        <f>Tb_SR[[#This Row],[Transmission by land - Distance '[km']]]-SQRT($G$2/PI())</f>
        <v>0</v>
      </c>
      <c r="J36" s="364" t="s">
        <v>152</v>
      </c>
      <c r="K36" s="692"/>
    </row>
    <row r="37" spans="1:11">
      <c r="A37" s="527" t="str">
        <f>Tb_SR[[#This Row],[Production loc]]&amp;Tb_SR[[#This Row],[Transmission by sea]]&amp;Tb_SR[[#This Row],[Transmission by land]]&amp;Tb_SR[[#This Row],[Destination]]</f>
        <v>Algeria()PipelinePipelineFrance</v>
      </c>
      <c r="B37" s="364" t="str">
        <f>Tb_SR[[#This Row],[Production loc]]&amp;Tb_SR[[#This Row],[Destination]]&amp;COUNTIF($C$9:C37,C37)</f>
        <v>Algeria()France2</v>
      </c>
      <c r="C37" s="364" t="str">
        <f>Tb_SR[[#This Row],[Production loc]]&amp;" - "&amp;Tb_SR[[#This Row],[Destination]]</f>
        <v>Algeria() - France</v>
      </c>
      <c r="D37" s="364" t="s">
        <v>705</v>
      </c>
      <c r="E37" s="364" t="s">
        <v>25</v>
      </c>
      <c r="F37" s="551">
        <f>F49</f>
        <v>210</v>
      </c>
      <c r="G37" s="364" t="s">
        <v>25</v>
      </c>
      <c r="H37" s="551">
        <f>547+2*SQRT($G$3/PI())+SQRT($G$2/PI())</f>
        <v>1768.709682483166</v>
      </c>
      <c r="I37" s="551">
        <f>Tb_SR[[#This Row],[Transmission by land - Distance '[km']]]-SQRT($G$2/PI())</f>
        <v>1349.6512466318322</v>
      </c>
      <c r="J37" s="364" t="s">
        <v>152</v>
      </c>
      <c r="K37" s="692"/>
    </row>
    <row r="38" spans="1:11">
      <c r="A38" s="527" t="str">
        <f>Tb_SR[[#This Row],[Production loc]]&amp;Tb_SR[[#This Row],[Transmission by sea]]&amp;Tb_SR[[#This Row],[Transmission by land]]&amp;Tb_SR[[#This Row],[Destination]]</f>
        <v>Saudi Arabia(Onshore wind)ShipPipelineFrance</v>
      </c>
      <c r="B38" s="364" t="str">
        <f>Tb_SR[[#This Row],[Production loc]]&amp;Tb_SR[[#This Row],[Destination]]&amp;COUNTIF($C$9:C38,C38)</f>
        <v>Saudi Arabia(Onshore wind)France1</v>
      </c>
      <c r="C38" s="364" t="str">
        <f>Tb_SR[[#This Row],[Production loc]]&amp;" - "&amp;Tb_SR[[#This Row],[Destination]]</f>
        <v>Saudi Arabia(Onshore wind) - France</v>
      </c>
      <c r="D38" s="364" t="s">
        <v>706</v>
      </c>
      <c r="E38" s="364" t="s">
        <v>24</v>
      </c>
      <c r="F38" s="551">
        <v>3364</v>
      </c>
      <c r="G38" s="364" t="s">
        <v>25</v>
      </c>
      <c r="H38" s="551">
        <f>SQRT($G$2/PI())</f>
        <v>419.05843585133374</v>
      </c>
      <c r="I38" s="551">
        <f>Tb_SR[[#This Row],[Transmission by land - Distance '[km']]]-SQRT($G$2/PI())</f>
        <v>0</v>
      </c>
      <c r="J38" s="364" t="s">
        <v>152</v>
      </c>
      <c r="K38" s="692"/>
    </row>
    <row r="39" spans="1:11">
      <c r="A39" s="527" t="str">
        <f>Tb_SR[[#This Row],[Production loc]]&amp;Tb_SR[[#This Row],[Transmission by sea]]&amp;Tb_SR[[#This Row],[Transmission by land]]&amp;Tb_SR[[#This Row],[Destination]]</f>
        <v>Saudi Arabia(Solar)ShipPipelineFrance</v>
      </c>
      <c r="B39" s="364" t="str">
        <f>Tb_SR[[#This Row],[Production loc]]&amp;Tb_SR[[#This Row],[Destination]]&amp;COUNTIF($C$9:C39,C39)</f>
        <v>Saudi Arabia(Solar)France1</v>
      </c>
      <c r="C39" s="364" t="str">
        <f>Tb_SR[[#This Row],[Production loc]]&amp;" - "&amp;Tb_SR[[#This Row],[Destination]]</f>
        <v>Saudi Arabia(Solar) - France</v>
      </c>
      <c r="D39" s="364" t="s">
        <v>707</v>
      </c>
      <c r="E39" s="364" t="s">
        <v>24</v>
      </c>
      <c r="F39" s="551">
        <v>3364</v>
      </c>
      <c r="G39" s="364" t="s">
        <v>25</v>
      </c>
      <c r="H39" s="551">
        <f t="shared" ref="H39:H40" si="3">SQRT($G$2/PI())</f>
        <v>419.05843585133374</v>
      </c>
      <c r="I39" s="551">
        <f>Tb_SR[[#This Row],[Transmission by land - Distance '[km']]]-SQRT($G$2/PI())</f>
        <v>0</v>
      </c>
      <c r="J39" s="364" t="s">
        <v>152</v>
      </c>
      <c r="K39" s="692"/>
    </row>
    <row r="40" spans="1:11">
      <c r="A40" s="527" t="str">
        <f>Tb_SR[[#This Row],[Production loc]]&amp;Tb_SR[[#This Row],[Transmission by sea]]&amp;Tb_SR[[#This Row],[Transmission by land]]&amp;Tb_SR[[#This Row],[Destination]]</f>
        <v>Norway()ShipPipelineFrance</v>
      </c>
      <c r="B40" s="364" t="str">
        <f>Tb_SR[[#This Row],[Production loc]]&amp;Tb_SR[[#This Row],[Destination]]&amp;COUNTIF($C$9:C40,C40)</f>
        <v>Norway()France1</v>
      </c>
      <c r="C40" s="364" t="str">
        <f>Tb_SR[[#This Row],[Production loc]]&amp;" - "&amp;Tb_SR[[#This Row],[Destination]]</f>
        <v>Norway() - France</v>
      </c>
      <c r="D40" s="364" t="s">
        <v>708</v>
      </c>
      <c r="E40" s="364" t="s">
        <v>24</v>
      </c>
      <c r="F40" s="551">
        <v>1726</v>
      </c>
      <c r="G40" s="364" t="s">
        <v>25</v>
      </c>
      <c r="H40" s="551">
        <f t="shared" si="3"/>
        <v>419.05843585133374</v>
      </c>
      <c r="I40" s="551">
        <f>Tb_SR[[#This Row],[Transmission by land - Distance '[km']]]-SQRT($G$2/PI())</f>
        <v>0</v>
      </c>
      <c r="J40" s="364" t="s">
        <v>152</v>
      </c>
      <c r="K40" s="692"/>
    </row>
    <row r="41" spans="1:11">
      <c r="A41" s="527" t="str">
        <f>Tb_SR[[#This Row],[Production loc]]&amp;Tb_SR[[#This Row],[Transmission by sea]]&amp;Tb_SR[[#This Row],[Transmission by land]]&amp;Tb_SR[[#This Row],[Destination]]</f>
        <v>Norway()PipelinePipelineFrance</v>
      </c>
      <c r="B41" s="364" t="str">
        <f>Tb_SR[[#This Row],[Production loc]]&amp;Tb_SR[[#This Row],[Destination]]&amp;COUNTIF($C$9:C41,C41)</f>
        <v>Norway()France2</v>
      </c>
      <c r="C41" s="364" t="str">
        <f>Tb_SR[[#This Row],[Production loc]]&amp;" - "&amp;Tb_SR[[#This Row],[Destination]]</f>
        <v>Norway() - France</v>
      </c>
      <c r="D41" s="364" t="s">
        <v>708</v>
      </c>
      <c r="E41" s="364" t="s">
        <v>25</v>
      </c>
      <c r="F41" s="551">
        <v>840</v>
      </c>
      <c r="G41" s="364" t="s">
        <v>25</v>
      </c>
      <c r="H41" s="551">
        <f>SQRT($G$2/PI())</f>
        <v>419.05843585133374</v>
      </c>
      <c r="I41" s="551">
        <f>Tb_SR[[#This Row],[Transmission by land - Distance '[km']]]-SQRT($G$2/PI())</f>
        <v>0</v>
      </c>
      <c r="J41" s="364" t="s">
        <v>152</v>
      </c>
      <c r="K41" s="692" t="s">
        <v>712</v>
      </c>
    </row>
    <row r="42" spans="1:11">
      <c r="A42" s="527" t="str">
        <f>Tb_SR[[#This Row],[Production loc]]&amp;Tb_SR[[#This Row],[Transmission by sea]]&amp;Tb_SR[[#This Row],[Transmission by land]]&amp;Tb_SR[[#This Row],[Destination]]</f>
        <v>Qatar()ShipPipelineFrance</v>
      </c>
      <c r="B42" s="364" t="str">
        <f>Tb_SR[[#This Row],[Production loc]]&amp;Tb_SR[[#This Row],[Destination]]&amp;COUNTIF($C$9:C42,C42)</f>
        <v>Qatar()France1</v>
      </c>
      <c r="C42" s="364" t="str">
        <f>Tb_SR[[#This Row],[Production loc]]&amp;" - "&amp;Tb_SR[[#This Row],[Destination]]</f>
        <v>Qatar() - France</v>
      </c>
      <c r="D42" s="364" t="s">
        <v>710</v>
      </c>
      <c r="E42" s="364" t="s">
        <v>24</v>
      </c>
      <c r="F42" s="551">
        <v>8007</v>
      </c>
      <c r="G42" s="364" t="s">
        <v>25</v>
      </c>
      <c r="H42" s="551">
        <f>SQRT($G$2/PI())</f>
        <v>419.05843585133374</v>
      </c>
      <c r="I42" s="551">
        <f>Tb_SR[[#This Row],[Transmission by land - Distance '[km']]]-SQRT($G$2/PI())</f>
        <v>0</v>
      </c>
      <c r="J42" s="364" t="s">
        <v>152</v>
      </c>
      <c r="K42" s="692"/>
    </row>
    <row r="43" spans="1:11">
      <c r="A43" s="527" t="str">
        <f>Tb_SR[[#This Row],[Production loc]]&amp;Tb_SR[[#This Row],[Transmission by sea]]&amp;Tb_SR[[#This Row],[Transmission by land]]&amp;Tb_SR[[#This Row],[Destination]]</f>
        <v>Spain(Solar)PipelinePipelineFrance</v>
      </c>
      <c r="B43" s="364" t="str">
        <f>Tb_SR[[#This Row],[Production loc]]&amp;Tb_SR[[#This Row],[Destination]]&amp;COUNTIF($C$9:C43,C43)</f>
        <v>Spain(Solar)France1</v>
      </c>
      <c r="C43" s="364" t="str">
        <f>Tb_SR[[#This Row],[Production loc]]&amp;" - "&amp;Tb_SR[[#This Row],[Destination]]</f>
        <v>Spain(Solar) - France</v>
      </c>
      <c r="D43" s="364" t="s">
        <v>711</v>
      </c>
      <c r="E43" s="364" t="s">
        <v>25</v>
      </c>
      <c r="F43" s="551">
        <v>0</v>
      </c>
      <c r="G43" s="364" t="s">
        <v>25</v>
      </c>
      <c r="H43" s="551">
        <f>SQRT($G$3/PI())+SQRT($G$2/PI())</f>
        <v>820.38405916724992</v>
      </c>
      <c r="I43" s="551">
        <f>Tb_SR[[#This Row],[Transmission by land - Distance '[km']]]-SQRT($G$2/PI())</f>
        <v>401.32562331591618</v>
      </c>
      <c r="J43" s="364" t="s">
        <v>152</v>
      </c>
      <c r="K43" s="692"/>
    </row>
    <row r="44" spans="1:11">
      <c r="A44" s="527" t="str">
        <f>Tb_SR[[#This Row],[Production loc]]&amp;Tb_SR[[#This Row],[Transmission by sea]]&amp;Tb_SR[[#This Row],[Transmission by land]]&amp;Tb_SR[[#This Row],[Destination]]</f>
        <v>Chile(Onshore wind)ShipPipelineSpain</v>
      </c>
      <c r="B44" s="364" t="str">
        <f>Tb_SR[[#This Row],[Production loc]]&amp;Tb_SR[[#This Row],[Destination]]&amp;COUNTIF($C$9:C44,C44)</f>
        <v>Chile(Onshore wind)Spain1</v>
      </c>
      <c r="C44" s="364" t="str">
        <f>Tb_SR[[#This Row],[Production loc]]&amp;" - "&amp;Tb_SR[[#This Row],[Destination]]</f>
        <v>Chile(Onshore wind) - Spain</v>
      </c>
      <c r="D44" s="364" t="s">
        <v>698</v>
      </c>
      <c r="E44" s="364" t="s">
        <v>24</v>
      </c>
      <c r="F44" s="551">
        <v>13258</v>
      </c>
      <c r="G44" s="364" t="s">
        <v>25</v>
      </c>
      <c r="H44" s="551">
        <f>SQRT($G$3/PI())</f>
        <v>401.32562331591618</v>
      </c>
      <c r="I44" s="551">
        <f>Tb_SR[[#This Row],[Transmission by land - Distance '[km']]]-SQRT($G$3/PI())</f>
        <v>0</v>
      </c>
      <c r="J44" s="364" t="s">
        <v>153</v>
      </c>
      <c r="K44" s="692"/>
    </row>
    <row r="45" spans="1:11">
      <c r="A45" s="527" t="str">
        <f>Tb_SR[[#This Row],[Production loc]]&amp;Tb_SR[[#This Row],[Transmission by sea]]&amp;Tb_SR[[#This Row],[Transmission by land]]&amp;Tb_SR[[#This Row],[Destination]]</f>
        <v>Chile(Solar)ShipPipelineSpain</v>
      </c>
      <c r="B45" s="364" t="str">
        <f>Tb_SR[[#This Row],[Production loc]]&amp;Tb_SR[[#This Row],[Destination]]&amp;COUNTIF($C$9:C45,C45)</f>
        <v>Chile(Solar)Spain1</v>
      </c>
      <c r="C45" s="364" t="str">
        <f>Tb_SR[[#This Row],[Production loc]]&amp;" - "&amp;Tb_SR[[#This Row],[Destination]]</f>
        <v>Chile(Solar) - Spain</v>
      </c>
      <c r="D45" s="364" t="s">
        <v>699</v>
      </c>
      <c r="E45" s="364" t="s">
        <v>24</v>
      </c>
      <c r="F45" s="551">
        <v>13258</v>
      </c>
      <c r="G45" s="364" t="s">
        <v>25</v>
      </c>
      <c r="H45" s="551">
        <f t="shared" ref="H45:H58" si="4">SQRT($G$3/PI())</f>
        <v>401.32562331591618</v>
      </c>
      <c r="I45" s="551">
        <f>Tb_SR[[#This Row],[Transmission by land - Distance '[km']]]-SQRT($G$3/PI())</f>
        <v>0</v>
      </c>
      <c r="J45" s="364" t="s">
        <v>153</v>
      </c>
      <c r="K45" s="692"/>
    </row>
    <row r="46" spans="1:11">
      <c r="A46" s="527" t="str">
        <f>Tb_SR[[#This Row],[Production loc]]&amp;Tb_SR[[#This Row],[Transmission by sea]]&amp;Tb_SR[[#This Row],[Transmission by land]]&amp;Tb_SR[[#This Row],[Destination]]</f>
        <v>Australia(Onshore wind)ShipPipelineSpain</v>
      </c>
      <c r="B46" s="364" t="str">
        <f>Tb_SR[[#This Row],[Production loc]]&amp;Tb_SR[[#This Row],[Destination]]&amp;COUNTIF($C$9:C46,C46)</f>
        <v>Australia(Onshore wind)Spain1</v>
      </c>
      <c r="C46" s="364" t="str">
        <f>Tb_SR[[#This Row],[Production loc]]&amp;" - "&amp;Tb_SR[[#This Row],[Destination]]</f>
        <v>Australia(Onshore wind) - Spain</v>
      </c>
      <c r="D46" s="364" t="s">
        <v>700</v>
      </c>
      <c r="E46" s="364" t="s">
        <v>24</v>
      </c>
      <c r="F46" s="551">
        <f>17761-2500</f>
        <v>15261</v>
      </c>
      <c r="G46" s="364" t="s">
        <v>25</v>
      </c>
      <c r="H46" s="551">
        <f t="shared" si="4"/>
        <v>401.32562331591618</v>
      </c>
      <c r="I46" s="551">
        <f>Tb_SR[[#This Row],[Transmission by land - Distance '[km']]]-SQRT($G$3/PI())</f>
        <v>0</v>
      </c>
      <c r="J46" s="364" t="s">
        <v>153</v>
      </c>
      <c r="K46" s="692"/>
    </row>
    <row r="47" spans="1:11">
      <c r="A47" s="527" t="str">
        <f>Tb_SR[[#This Row],[Production loc]]&amp;Tb_SR[[#This Row],[Transmission by sea]]&amp;Tb_SR[[#This Row],[Transmission by land]]&amp;Tb_SR[[#This Row],[Destination]]</f>
        <v>Australia(Solar)ShipPipelineSpain</v>
      </c>
      <c r="B47" s="364" t="str">
        <f>Tb_SR[[#This Row],[Production loc]]&amp;Tb_SR[[#This Row],[Destination]]&amp;COUNTIF($C$9:C47,C47)</f>
        <v>Australia(Solar)Spain1</v>
      </c>
      <c r="C47" s="364" t="str">
        <f>Tb_SR[[#This Row],[Production loc]]&amp;" - "&amp;Tb_SR[[#This Row],[Destination]]</f>
        <v>Australia(Solar) - Spain</v>
      </c>
      <c r="D47" s="364" t="s">
        <v>701</v>
      </c>
      <c r="E47" s="364" t="s">
        <v>24</v>
      </c>
      <c r="F47" s="551">
        <f>17761-2500</f>
        <v>15261</v>
      </c>
      <c r="G47" s="364" t="s">
        <v>25</v>
      </c>
      <c r="H47" s="551">
        <f t="shared" si="4"/>
        <v>401.32562331591618</v>
      </c>
      <c r="I47" s="551">
        <f>Tb_SR[[#This Row],[Transmission by land - Distance '[km']]]-SQRT($G$3/PI())</f>
        <v>0</v>
      </c>
      <c r="J47" s="364" t="s">
        <v>153</v>
      </c>
      <c r="K47" s="692"/>
    </row>
    <row r="48" spans="1:11">
      <c r="A48" s="527" t="str">
        <f>Tb_SR[[#This Row],[Production loc]]&amp;Tb_SR[[#This Row],[Transmission by sea]]&amp;Tb_SR[[#This Row],[Transmission by land]]&amp;Tb_SR[[#This Row],[Destination]]</f>
        <v>Algeria(Onshore wind)ShipPipelineSpain</v>
      </c>
      <c r="B48" s="364" t="str">
        <f>Tb_SR[[#This Row],[Production loc]]&amp;Tb_SR[[#This Row],[Destination]]&amp;COUNTIF($C$9:C48,C48)</f>
        <v>Algeria(Onshore wind)Spain1</v>
      </c>
      <c r="C48" s="364" t="str">
        <f>Tb_SR[[#This Row],[Production loc]]&amp;" - "&amp;Tb_SR[[#This Row],[Destination]]</f>
        <v>Algeria(Onshore wind) - Spain</v>
      </c>
      <c r="D48" s="364" t="s">
        <v>702</v>
      </c>
      <c r="E48" s="364" t="s">
        <v>24</v>
      </c>
      <c r="F48" s="551">
        <v>449</v>
      </c>
      <c r="G48" s="364" t="s">
        <v>25</v>
      </c>
      <c r="H48" s="551">
        <f t="shared" si="4"/>
        <v>401.32562331591618</v>
      </c>
      <c r="I48" s="551">
        <f>Tb_SR[[#This Row],[Transmission by land - Distance '[km']]]-SQRT($G$3/PI())</f>
        <v>0</v>
      </c>
      <c r="J48" s="364" t="s">
        <v>153</v>
      </c>
      <c r="K48" s="692"/>
    </row>
    <row r="49" spans="1:11">
      <c r="A49" s="527" t="str">
        <f>Tb_SR[[#This Row],[Production loc]]&amp;Tb_SR[[#This Row],[Transmission by sea]]&amp;Tb_SR[[#This Row],[Transmission by land]]&amp;Tb_SR[[#This Row],[Destination]]</f>
        <v>Algeria(Onshore wind)PipelinePipelineSpain</v>
      </c>
      <c r="B49" s="364" t="str">
        <f>Tb_SR[[#This Row],[Production loc]]&amp;Tb_SR[[#This Row],[Destination]]&amp;COUNTIF($C$9:C49,C49)</f>
        <v>Algeria(Onshore wind)Spain2</v>
      </c>
      <c r="C49" s="364" t="str">
        <f>Tb_SR[[#This Row],[Production loc]]&amp;" - "&amp;Tb_SR[[#This Row],[Destination]]</f>
        <v>Algeria(Onshore wind) - Spain</v>
      </c>
      <c r="D49" s="364" t="s">
        <v>702</v>
      </c>
      <c r="E49" s="364" t="s">
        <v>25</v>
      </c>
      <c r="F49" s="551">
        <v>210</v>
      </c>
      <c r="G49" s="364" t="s">
        <v>25</v>
      </c>
      <c r="H49" s="551">
        <f>547+SQRT($G$3/PI())</f>
        <v>948.32562331591612</v>
      </c>
      <c r="I49" s="551">
        <f>Tb_SR[[#This Row],[Transmission by land - Distance '[km']]]-SQRT($G$3/PI())</f>
        <v>547</v>
      </c>
      <c r="J49" s="364" t="s">
        <v>153</v>
      </c>
      <c r="K49" s="692" t="s">
        <v>713</v>
      </c>
    </row>
    <row r="50" spans="1:11">
      <c r="A50" s="527" t="str">
        <f>Tb_SR[[#This Row],[Production loc]]&amp;Tb_SR[[#This Row],[Transmission by sea]]&amp;Tb_SR[[#This Row],[Transmission by land]]&amp;Tb_SR[[#This Row],[Destination]]</f>
        <v>Algeria(Solar)ShipPipelineSpain</v>
      </c>
      <c r="B50" s="364" t="str">
        <f>Tb_SR[[#This Row],[Production loc]]&amp;Tb_SR[[#This Row],[Destination]]&amp;COUNTIF($C$9:C50,C50)</f>
        <v>Algeria(Solar)Spain1</v>
      </c>
      <c r="C50" s="364" t="str">
        <f>Tb_SR[[#This Row],[Production loc]]&amp;" - "&amp;Tb_SR[[#This Row],[Destination]]</f>
        <v>Algeria(Solar) - Spain</v>
      </c>
      <c r="D50" s="364" t="s">
        <v>704</v>
      </c>
      <c r="E50" s="364" t="s">
        <v>24</v>
      </c>
      <c r="F50" s="551">
        <v>449</v>
      </c>
      <c r="G50" s="364" t="s">
        <v>25</v>
      </c>
      <c r="H50" s="551">
        <f t="shared" si="4"/>
        <v>401.32562331591618</v>
      </c>
      <c r="I50" s="551">
        <f>Tb_SR[[#This Row],[Transmission by land - Distance '[km']]]-SQRT($G$3/PI())</f>
        <v>0</v>
      </c>
      <c r="J50" s="364" t="s">
        <v>153</v>
      </c>
      <c r="K50" s="692"/>
    </row>
    <row r="51" spans="1:11">
      <c r="A51" s="527" t="str">
        <f>Tb_SR[[#This Row],[Production loc]]&amp;Tb_SR[[#This Row],[Transmission by sea]]&amp;Tb_SR[[#This Row],[Transmission by land]]&amp;Tb_SR[[#This Row],[Destination]]</f>
        <v>Algeria(Solar)PipelinePipelineSpain</v>
      </c>
      <c r="B51" s="364" t="str">
        <f>Tb_SR[[#This Row],[Production loc]]&amp;Tb_SR[[#This Row],[Destination]]&amp;COUNTIF($C$9:C51,C51)</f>
        <v>Algeria(Solar)Spain2</v>
      </c>
      <c r="C51" s="364" t="str">
        <f>Tb_SR[[#This Row],[Production loc]]&amp;" - "&amp;Tb_SR[[#This Row],[Destination]]</f>
        <v>Algeria(Solar) - Spain</v>
      </c>
      <c r="D51" s="364" t="s">
        <v>704</v>
      </c>
      <c r="E51" s="364" t="s">
        <v>25</v>
      </c>
      <c r="F51" s="551">
        <v>210</v>
      </c>
      <c r="G51" s="364" t="s">
        <v>25</v>
      </c>
      <c r="H51" s="551">
        <f>547+SQRT($G$3/PI())</f>
        <v>948.32562331591612</v>
      </c>
      <c r="I51" s="551">
        <f>Tb_SR[[#This Row],[Transmission by land - Distance '[km']]]-SQRT($G$3/PI())</f>
        <v>547</v>
      </c>
      <c r="J51" s="364" t="s">
        <v>153</v>
      </c>
      <c r="K51" s="692" t="s">
        <v>713</v>
      </c>
    </row>
    <row r="52" spans="1:11">
      <c r="A52" s="527" t="str">
        <f>Tb_SR[[#This Row],[Production loc]]&amp;Tb_SR[[#This Row],[Transmission by sea]]&amp;Tb_SR[[#This Row],[Transmission by land]]&amp;Tb_SR[[#This Row],[Destination]]</f>
        <v>Algeria()ShipPipelineSpain</v>
      </c>
      <c r="B52" s="364" t="str">
        <f>Tb_SR[[#This Row],[Production loc]]&amp;Tb_SR[[#This Row],[Destination]]&amp;COUNTIF($C$9:C52,C52)</f>
        <v>Algeria()Spain1</v>
      </c>
      <c r="C52" s="364" t="str">
        <f>Tb_SR[[#This Row],[Production loc]]&amp;" - "&amp;Tb_SR[[#This Row],[Destination]]</f>
        <v>Algeria() - Spain</v>
      </c>
      <c r="D52" s="364" t="s">
        <v>705</v>
      </c>
      <c r="E52" s="364" t="s">
        <v>24</v>
      </c>
      <c r="F52" s="551">
        <v>449</v>
      </c>
      <c r="G52" s="364" t="s">
        <v>25</v>
      </c>
      <c r="H52" s="551">
        <f t="shared" si="4"/>
        <v>401.32562331591618</v>
      </c>
      <c r="I52" s="551">
        <f>Tb_SR[[#This Row],[Transmission by land - Distance '[km']]]-SQRT($G$3/PI())</f>
        <v>0</v>
      </c>
      <c r="J52" s="364" t="s">
        <v>153</v>
      </c>
      <c r="K52" s="692"/>
    </row>
    <row r="53" spans="1:11">
      <c r="A53" s="527" t="str">
        <f>Tb_SR[[#This Row],[Production loc]]&amp;Tb_SR[[#This Row],[Transmission by sea]]&amp;Tb_SR[[#This Row],[Transmission by land]]&amp;Tb_SR[[#This Row],[Destination]]</f>
        <v>Algeria()PipelinePipelineSpain</v>
      </c>
      <c r="B53" s="364" t="str">
        <f>Tb_SR[[#This Row],[Production loc]]&amp;Tb_SR[[#This Row],[Destination]]&amp;COUNTIF($C$9:C53,C53)</f>
        <v>Algeria()Spain2</v>
      </c>
      <c r="C53" s="364" t="str">
        <f>Tb_SR[[#This Row],[Production loc]]&amp;" - "&amp;Tb_SR[[#This Row],[Destination]]</f>
        <v>Algeria() - Spain</v>
      </c>
      <c r="D53" s="364" t="s">
        <v>705</v>
      </c>
      <c r="E53" s="364" t="s">
        <v>25</v>
      </c>
      <c r="F53" s="551">
        <v>210</v>
      </c>
      <c r="G53" s="364" t="s">
        <v>25</v>
      </c>
      <c r="H53" s="551">
        <f>547+SQRT($G$3/PI())</f>
        <v>948.32562331591612</v>
      </c>
      <c r="I53" s="551">
        <f>Tb_SR[[#This Row],[Transmission by land - Distance '[km']]]-SQRT($G$3/PI())</f>
        <v>547</v>
      </c>
      <c r="J53" s="364" t="s">
        <v>153</v>
      </c>
      <c r="K53" s="692" t="s">
        <v>713</v>
      </c>
    </row>
    <row r="54" spans="1:11">
      <c r="A54" s="527" t="str">
        <f>Tb_SR[[#This Row],[Production loc]]&amp;Tb_SR[[#This Row],[Transmission by sea]]&amp;Tb_SR[[#This Row],[Transmission by land]]&amp;Tb_SR[[#This Row],[Destination]]</f>
        <v>Saudi Arabia(Onshore wind)ShipPipelineSpain</v>
      </c>
      <c r="B54" s="364" t="str">
        <f>Tb_SR[[#This Row],[Production loc]]&amp;Tb_SR[[#This Row],[Destination]]&amp;COUNTIF($C$9:C54,C54)</f>
        <v>Saudi Arabia(Onshore wind)Spain1</v>
      </c>
      <c r="C54" s="364" t="str">
        <f>Tb_SR[[#This Row],[Production loc]]&amp;" - "&amp;Tb_SR[[#This Row],[Destination]]</f>
        <v>Saudi Arabia(Onshore wind) - Spain</v>
      </c>
      <c r="D54" s="364" t="s">
        <v>706</v>
      </c>
      <c r="E54" s="364" t="s">
        <v>24</v>
      </c>
      <c r="F54" s="551">
        <v>4805</v>
      </c>
      <c r="G54" s="364" t="s">
        <v>25</v>
      </c>
      <c r="H54" s="551">
        <f t="shared" si="4"/>
        <v>401.32562331591618</v>
      </c>
      <c r="I54" s="551">
        <f>Tb_SR[[#This Row],[Transmission by land - Distance '[km']]]-SQRT($G$3/PI())</f>
        <v>0</v>
      </c>
      <c r="J54" s="364" t="s">
        <v>153</v>
      </c>
      <c r="K54" s="692"/>
    </row>
    <row r="55" spans="1:11">
      <c r="A55" s="527" t="str">
        <f>Tb_SR[[#This Row],[Production loc]]&amp;Tb_SR[[#This Row],[Transmission by sea]]&amp;Tb_SR[[#This Row],[Transmission by land]]&amp;Tb_SR[[#This Row],[Destination]]</f>
        <v>Saudi Arabia(Solar)ShipPipelineSpain</v>
      </c>
      <c r="B55" s="364" t="str">
        <f>Tb_SR[[#This Row],[Production loc]]&amp;Tb_SR[[#This Row],[Destination]]&amp;COUNTIF($C$9:C55,C55)</f>
        <v>Saudi Arabia(Solar)Spain1</v>
      </c>
      <c r="C55" s="364" t="str">
        <f>Tb_SR[[#This Row],[Production loc]]&amp;" - "&amp;Tb_SR[[#This Row],[Destination]]</f>
        <v>Saudi Arabia(Solar) - Spain</v>
      </c>
      <c r="D55" s="364" t="s">
        <v>707</v>
      </c>
      <c r="E55" s="364" t="s">
        <v>24</v>
      </c>
      <c r="F55" s="551">
        <v>4805</v>
      </c>
      <c r="G55" s="364" t="s">
        <v>25</v>
      </c>
      <c r="H55" s="551">
        <f t="shared" si="4"/>
        <v>401.32562331591618</v>
      </c>
      <c r="I55" s="551">
        <f>Tb_SR[[#This Row],[Transmission by land - Distance '[km']]]-SQRT($G$3/PI())</f>
        <v>0</v>
      </c>
      <c r="J55" s="364" t="s">
        <v>153</v>
      </c>
      <c r="K55" s="692"/>
    </row>
    <row r="56" spans="1:11">
      <c r="A56" s="527" t="str">
        <f>Tb_SR[[#This Row],[Production loc]]&amp;Tb_SR[[#This Row],[Transmission by sea]]&amp;Tb_SR[[#This Row],[Transmission by land]]&amp;Tb_SR[[#This Row],[Destination]]</f>
        <v>Norway()ShipPipelineSpain</v>
      </c>
      <c r="B56" s="364" t="str">
        <f>Tb_SR[[#This Row],[Production loc]]&amp;Tb_SR[[#This Row],[Destination]]&amp;COUNTIF($C$9:C56,C56)</f>
        <v>Norway()Spain1</v>
      </c>
      <c r="C56" s="364" t="str">
        <f>Tb_SR[[#This Row],[Production loc]]&amp;" - "&amp;Tb_SR[[#This Row],[Destination]]</f>
        <v>Norway() - Spain</v>
      </c>
      <c r="D56" s="364" t="s">
        <v>708</v>
      </c>
      <c r="E56" s="364" t="s">
        <v>24</v>
      </c>
      <c r="F56" s="551">
        <v>3151</v>
      </c>
      <c r="G56" s="364" t="s">
        <v>25</v>
      </c>
      <c r="H56" s="551">
        <f t="shared" si="4"/>
        <v>401.32562331591618</v>
      </c>
      <c r="I56" s="551">
        <f>Tb_SR[[#This Row],[Transmission by land - Distance '[km']]]-SQRT($G$3/PI())</f>
        <v>0</v>
      </c>
      <c r="J56" s="364" t="s">
        <v>153</v>
      </c>
      <c r="K56" s="692"/>
    </row>
    <row r="57" spans="1:11">
      <c r="A57" s="527" t="str">
        <f>Tb_SR[[#This Row],[Production loc]]&amp;Tb_SR[[#This Row],[Transmission by sea]]&amp;Tb_SR[[#This Row],[Transmission by land]]&amp;Tb_SR[[#This Row],[Destination]]</f>
        <v>Norway()PipelinePipelineSpain</v>
      </c>
      <c r="B57" s="364" t="str">
        <f>Tb_SR[[#This Row],[Production loc]]&amp;Tb_SR[[#This Row],[Destination]]&amp;COUNTIF($C$9:C57,C57)</f>
        <v>Norway()Spain2</v>
      </c>
      <c r="C57" s="364" t="str">
        <f>Tb_SR[[#This Row],[Production loc]]&amp;" - "&amp;Tb_SR[[#This Row],[Destination]]</f>
        <v>Norway() - Spain</v>
      </c>
      <c r="D57" s="364" t="s">
        <v>708</v>
      </c>
      <c r="E57" s="364" t="s">
        <v>25</v>
      </c>
      <c r="F57" s="551">
        <v>840</v>
      </c>
      <c r="G57" s="364" t="s">
        <v>25</v>
      </c>
      <c r="H57" s="551">
        <f>2*SQRT($G$2/PI())+SQRT($G$3/PI())</f>
        <v>1239.4424950185837</v>
      </c>
      <c r="I57" s="551">
        <f>Tb_SR[[#This Row],[Transmission by land - Distance '[km']]]-SQRT($G$3/PI())</f>
        <v>838.11687170266759</v>
      </c>
      <c r="J57" s="364" t="s">
        <v>153</v>
      </c>
      <c r="K57" s="692" t="s">
        <v>712</v>
      </c>
    </row>
    <row r="58" spans="1:11">
      <c r="A58" s="527" t="str">
        <f>Tb_SR[[#This Row],[Production loc]]&amp;Tb_SR[[#This Row],[Transmission by sea]]&amp;Tb_SR[[#This Row],[Transmission by land]]&amp;Tb_SR[[#This Row],[Destination]]</f>
        <v>Qatar()ShipPipelineSpain</v>
      </c>
      <c r="B58" s="364" t="str">
        <f>Tb_SR[[#This Row],[Production loc]]&amp;Tb_SR[[#This Row],[Destination]]&amp;COUNTIF($C$9:C59,C58)</f>
        <v>Qatar()Spain1</v>
      </c>
      <c r="C58" s="364" t="str">
        <f>Tb_SR[[#This Row],[Production loc]]&amp;" - "&amp;Tb_SR[[#This Row],[Destination]]</f>
        <v>Qatar() - Spain</v>
      </c>
      <c r="D58" s="364" t="s">
        <v>710</v>
      </c>
      <c r="E58" s="364" t="s">
        <v>24</v>
      </c>
      <c r="F58" s="551">
        <v>9408</v>
      </c>
      <c r="G58" s="364" t="s">
        <v>25</v>
      </c>
      <c r="H58" s="551">
        <f t="shared" si="4"/>
        <v>401.32562331591618</v>
      </c>
      <c r="I58" s="551">
        <f>Tb_SR[[#This Row],[Transmission by land - Distance '[km']]]-SQRT($G$3/PI())</f>
        <v>0</v>
      </c>
      <c r="J58" s="364" t="s">
        <v>153</v>
      </c>
      <c r="K58" s="692"/>
    </row>
    <row r="59" spans="1:11">
      <c r="A59" s="545" t="str">
        <f>Tb_SR[[#This Row],[Production loc]]&amp;Tb_SR[[#This Row],[Transmission by sea]]&amp;Tb_SR[[#This Row],[Transmission by land]]&amp;Tb_SR[[#This Row],[Destination]]</f>
        <v>Spain(Solar)ShipPipelineGermany</v>
      </c>
      <c r="B59" s="546" t="str">
        <f>Tb_SR[[#This Row],[Production loc]]&amp;Tb_SR[[#This Row],[Destination]]&amp;COUNTIF($C$9:C59,C59)</f>
        <v>Spain(Solar)Germany2</v>
      </c>
      <c r="C59" s="546" t="str">
        <f>Tb_SR[[#This Row],[Production loc]]&amp;" - "&amp;Tb_SR[[#This Row],[Destination]]</f>
        <v>Spain(Solar) - Germany</v>
      </c>
      <c r="D59" s="546" t="s">
        <v>711</v>
      </c>
      <c r="E59" s="546" t="s">
        <v>24</v>
      </c>
      <c r="F59" s="850">
        <v>2058</v>
      </c>
      <c r="G59" s="546" t="s">
        <v>25</v>
      </c>
      <c r="H59" s="850">
        <f>SQRT($G$1/PI())</f>
        <v>337.15414381946761</v>
      </c>
      <c r="I59" s="850">
        <v>0</v>
      </c>
      <c r="J59" s="546" t="s">
        <v>21</v>
      </c>
      <c r="K59" s="837" t="s">
        <v>714</v>
      </c>
    </row>
  </sheetData>
  <sheetProtection algorithmName="SHA-512" hashValue="Fp55ltiELT/5GFeQx1eFVyO51vbM8j/7LMJFKFGSoI9zIz/nt9eYJ6hy2ngYy9514G/KRMAh1F/h6MF1UVlIEw==" saltValue="oYftoMdIFoQHAuKCUI5mKQ==" spinCount="100000" sheet="1" objects="1" scenarios="1"/>
  <phoneticPr fontId="11" type="noConversion"/>
  <hyperlinks>
    <hyperlink ref="C1" r:id="rId1" xr:uid="{6BEEAD78-289F-2244-B417-E874C71ECADE}"/>
    <hyperlink ref="C2" r:id="rId2" xr:uid="{29E2047D-3EB9-DE4F-A1F1-09E2AABCA1F0}"/>
    <hyperlink ref="I1" r:id="rId3" xr:uid="{6E65C80A-4823-BE41-A264-F2F6EA6D78D3}"/>
    <hyperlink ref="I2:I3" r:id="rId4" display="statista.com, 2021" xr:uid="{78135090-AA6A-CE44-9BAC-10966B577E06}"/>
    <hyperlink ref="C3" r:id="rId5" location="transmission-capacity-map-2021" display="ENTSO-G, 2021" xr:uid="{EFDCDCBB-A44D-A34C-96D8-3CD42CBF49E0}"/>
    <hyperlink ref="C4" r:id="rId6" xr:uid="{16F7BF76-286F-F941-9ECA-ED20B09B33BA}"/>
  </hyperlinks>
  <pageMargins left="0.7" right="0.7" top="0.75" bottom="0.75" header="0.3" footer="0.3"/>
  <pageSetup paperSize="9" orientation="portrait" r:id="rId7"/>
  <tableParts count="1">
    <tablePart r:id="rId8"/>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E2A60-53F5-2B40-9E63-84EC2FB4B445}">
  <dimension ref="A1:BX44"/>
  <sheetViews>
    <sheetView topLeftCell="A3" zoomScale="60" zoomScaleNormal="60" workbookViewId="0">
      <selection activeCell="E40" activeCellId="9" sqref="S5:S43 Q5:Q43 O5:O43 M5:M43 K5:K43 I5:I43 G5:G43 E5:E39 C5:C43 E40:E43"/>
    </sheetView>
  </sheetViews>
  <sheetFormatPr baseColWidth="10" defaultColWidth="10.5" defaultRowHeight="16"/>
  <cols>
    <col min="1" max="1" width="12" style="2" bestFit="1" customWidth="1"/>
    <col min="2" max="5" width="10.5" style="2"/>
    <col min="6" max="6" width="10.1640625" style="2" customWidth="1"/>
    <col min="7" max="16384" width="10.5" style="2"/>
  </cols>
  <sheetData>
    <row r="1" spans="1:76">
      <c r="A1" s="50" t="s">
        <v>1017</v>
      </c>
      <c r="B1" s="33"/>
      <c r="C1" s="33" t="s">
        <v>751</v>
      </c>
      <c r="D1" s="33"/>
      <c r="E1" s="33" t="s">
        <v>751</v>
      </c>
      <c r="F1" s="33"/>
      <c r="G1" s="33" t="s">
        <v>751</v>
      </c>
      <c r="H1" s="33"/>
      <c r="I1" s="33" t="s">
        <v>751</v>
      </c>
      <c r="J1" s="33"/>
      <c r="K1" s="33" t="s">
        <v>751</v>
      </c>
      <c r="L1" s="33"/>
      <c r="M1" s="33" t="s">
        <v>751</v>
      </c>
      <c r="N1" s="33"/>
      <c r="O1" s="33" t="s">
        <v>751</v>
      </c>
      <c r="P1" s="33"/>
      <c r="Q1" s="33" t="s">
        <v>751</v>
      </c>
      <c r="R1" s="33"/>
      <c r="S1" s="33" t="s">
        <v>751</v>
      </c>
      <c r="T1" s="33"/>
      <c r="U1" s="278" t="s">
        <v>751</v>
      </c>
      <c r="V1" s="33"/>
      <c r="W1" s="278" t="s">
        <v>751</v>
      </c>
      <c r="X1" s="33"/>
      <c r="Y1" s="278" t="s">
        <v>751</v>
      </c>
      <c r="Z1" s="33"/>
      <c r="AA1" s="278" t="s">
        <v>751</v>
      </c>
      <c r="AB1" s="33"/>
      <c r="AC1" s="278" t="s">
        <v>751</v>
      </c>
      <c r="AD1" s="33"/>
      <c r="AE1" s="278" t="s">
        <v>751</v>
      </c>
      <c r="AF1" s="51" t="s">
        <v>1018</v>
      </c>
      <c r="AG1" s="278" t="s">
        <v>980</v>
      </c>
      <c r="AH1" s="51" t="s">
        <v>1018</v>
      </c>
      <c r="AI1" s="278" t="s">
        <v>980</v>
      </c>
      <c r="AJ1" s="51" t="s">
        <v>1018</v>
      </c>
      <c r="AK1" s="278" t="s">
        <v>980</v>
      </c>
      <c r="AL1" s="33"/>
      <c r="AM1" s="278" t="s">
        <v>980</v>
      </c>
      <c r="AN1" s="51" t="s">
        <v>1018</v>
      </c>
      <c r="AO1" s="278" t="s">
        <v>980</v>
      </c>
      <c r="AP1" s="33"/>
      <c r="AQ1" s="278" t="s">
        <v>980</v>
      </c>
      <c r="AR1" s="51" t="s">
        <v>1019</v>
      </c>
      <c r="AS1" s="33" t="s">
        <v>1020</v>
      </c>
      <c r="AT1" s="51" t="s">
        <v>1021</v>
      </c>
      <c r="AU1" s="227" t="s">
        <v>1022</v>
      </c>
      <c r="BA1" s="364" t="s">
        <v>716</v>
      </c>
      <c r="BB1" s="364" t="s">
        <v>751</v>
      </c>
      <c r="BC1" s="364" t="s">
        <v>751</v>
      </c>
      <c r="BD1" s="364" t="s">
        <v>751</v>
      </c>
      <c r="BE1" s="364" t="s">
        <v>751</v>
      </c>
      <c r="BF1" s="364" t="s">
        <v>751</v>
      </c>
      <c r="BG1" s="364" t="s">
        <v>751</v>
      </c>
      <c r="BH1" s="364" t="s">
        <v>751</v>
      </c>
      <c r="BI1" s="364" t="s">
        <v>751</v>
      </c>
      <c r="BJ1" s="364" t="s">
        <v>751</v>
      </c>
      <c r="BK1" s="364" t="s">
        <v>751</v>
      </c>
      <c r="BL1" s="364" t="s">
        <v>751</v>
      </c>
      <c r="BM1" s="364" t="s">
        <v>751</v>
      </c>
      <c r="BN1" s="364" t="s">
        <v>751</v>
      </c>
      <c r="BO1" s="364" t="s">
        <v>751</v>
      </c>
      <c r="BP1" s="364" t="s">
        <v>751</v>
      </c>
      <c r="BQ1" s="633" t="s">
        <v>980</v>
      </c>
      <c r="BR1" s="633" t="s">
        <v>980</v>
      </c>
      <c r="BS1" s="633" t="s">
        <v>980</v>
      </c>
      <c r="BT1" s="633" t="s">
        <v>980</v>
      </c>
      <c r="BU1" s="633" t="s">
        <v>980</v>
      </c>
      <c r="BV1" s="633" t="s">
        <v>980</v>
      </c>
      <c r="BW1" s="364" t="s">
        <v>1020</v>
      </c>
      <c r="BX1" s="364" t="s">
        <v>1022</v>
      </c>
    </row>
    <row r="2" spans="1:76">
      <c r="A2" s="36"/>
      <c r="B2" s="1292" t="str">
        <f>Tb_Fuel38[[#Headers],[Germany - Grid]]</f>
        <v>Germany - Grid</v>
      </c>
      <c r="C2" s="1292"/>
      <c r="D2" s="1292" t="str">
        <f>Tb_Fuel38[[#Headers],[France - Grid]]</f>
        <v>France - Grid</v>
      </c>
      <c r="E2" s="1292"/>
      <c r="F2" s="1292" t="str">
        <f>Tb_Fuel38[[#Headers],[Spain - Grid]]</f>
        <v>Spain - Grid</v>
      </c>
      <c r="G2" s="1292"/>
      <c r="H2" s="1292" t="str">
        <f>Tb_Fuel38[[#Headers],[Germany - Feed-in electricity price]]</f>
        <v>Germany - Feed-in electricity price</v>
      </c>
      <c r="I2" s="1292"/>
      <c r="J2" s="1292" t="str">
        <f>Tb_Fuel38[[#Headers],[France - Feed-in electricity price]]</f>
        <v>France - Feed-in electricity price</v>
      </c>
      <c r="K2" s="1292"/>
      <c r="L2" s="1292" t="str">
        <f>Tb_Fuel38[[#Headers],[Spain - Feed-in electricity price]]</f>
        <v>Spain - Feed-in electricity price</v>
      </c>
      <c r="M2" s="1292"/>
      <c r="N2" s="1292" t="str">
        <f>Tb_Fuel38[[#Headers],[Norway - Feed-in electricity price]]</f>
        <v>Norway - Feed-in electricity price</v>
      </c>
      <c r="O2" s="1292"/>
      <c r="P2" s="1292" t="str">
        <f>Tb_Fuel38[[#Headers],[Qatar - Feed-in electricity price]]</f>
        <v>Qatar - Feed-in electricity price</v>
      </c>
      <c r="Q2" s="1292"/>
      <c r="R2" s="1292" t="str">
        <f>Tb_Fuel38[[#Headers],[Algeria - Feed-in electricity price]]</f>
        <v>Algeria - Feed-in electricity price</v>
      </c>
      <c r="S2" s="1292"/>
      <c r="T2" s="1292" t="str">
        <f>Tb_Fuel38[[#Headers],[Germany - Gas]]</f>
        <v>Germany - Gas</v>
      </c>
      <c r="U2" s="1292"/>
      <c r="V2" s="1292" t="str">
        <f>Tb_Fuel38[[#Headers],[France - Gas]]</f>
        <v>France - Gas</v>
      </c>
      <c r="W2" s="1292"/>
      <c r="X2" s="1292" t="str">
        <f>Tb_Fuel38[[#Headers],[Spain - Gas]]</f>
        <v>Spain - Gas</v>
      </c>
      <c r="Y2" s="1292"/>
      <c r="Z2" s="1292" t="str">
        <f>Tb_Fuel38[[#Headers],[Algeria - Gas]]</f>
        <v>Algeria - Gas</v>
      </c>
      <c r="AA2" s="1292"/>
      <c r="AB2" s="1292" t="str">
        <f>Tb_Fuel38[[#Headers],[Norway - Gas]]</f>
        <v>Norway - Gas</v>
      </c>
      <c r="AC2" s="1292"/>
      <c r="AD2" s="1292" t="str">
        <f>Tb_Fuel38[[#Headers],[Qatar - Gas]]</f>
        <v>Qatar - Gas</v>
      </c>
      <c r="AE2" s="1292"/>
      <c r="AF2" s="1292" t="str">
        <f>Tb_Fuel38[[#Headers],[Germany - CO2 Price]]</f>
        <v>Germany - CO2 Price</v>
      </c>
      <c r="AG2" s="1292"/>
      <c r="AH2" s="1292" t="str">
        <f>Tb_Fuel38[[#Headers],[France - CO2 Price]]</f>
        <v>France - CO2 Price</v>
      </c>
      <c r="AI2" s="1292"/>
      <c r="AJ2" s="1292" t="str">
        <f>Tb_Fuel38[[#Headers],[Spain - CO2 Price]]</f>
        <v>Spain - CO2 Price</v>
      </c>
      <c r="AK2" s="1292"/>
      <c r="AL2" s="1292" t="str">
        <f>Tb_Fuel38[[#Headers],[Algeria - CO2 Price]]</f>
        <v>Algeria - CO2 Price</v>
      </c>
      <c r="AM2" s="1292"/>
      <c r="AN2" s="1292" t="str">
        <f>Tb_Fuel38[[#Headers],[Norway - CO2 Price]]</f>
        <v>Norway - CO2 Price</v>
      </c>
      <c r="AO2" s="1292"/>
      <c r="AP2" s="1292" t="str">
        <f>Tb_Fuel38[[#Headers],[Qatar - CO2 Price]]</f>
        <v>Qatar - CO2 Price</v>
      </c>
      <c r="AQ2" s="1292"/>
      <c r="AR2" s="1292" t="str">
        <f>Tb_Fuel38[[#Headers],[Global - Diesel]]</f>
        <v>Global - Diesel</v>
      </c>
      <c r="AS2" s="1292"/>
      <c r="AT2" s="1292" t="str">
        <f>Tb_Fuel38[[#Headers],[Global - HFO]]</f>
        <v>Global - HFO</v>
      </c>
      <c r="AU2" s="1319"/>
      <c r="BA2" s="364"/>
      <c r="BB2" s="851" t="str">
        <f>Tb_Fuel[[#Headers],[Germany - Grid]]</f>
        <v>Germany - Grid</v>
      </c>
      <c r="BC2" s="851" t="str">
        <f>Tb_Fuel[[#Headers],[France - Grid]]</f>
        <v>France - Grid</v>
      </c>
      <c r="BD2" s="851" t="str">
        <f>Tb_Fuel[[#Headers],[Spain - Grid]]</f>
        <v>Spain - Grid</v>
      </c>
      <c r="BE2" s="851" t="str">
        <f>Tb_Fuel[[#Headers],[Germany - Feed-in electricity price]]</f>
        <v>Germany - Feed-in electricity price</v>
      </c>
      <c r="BF2" s="851" t="str">
        <f>Tb_Fuel[[#Headers],[France - Feed-in electricity price]]</f>
        <v>France - Feed-in electricity price</v>
      </c>
      <c r="BG2" s="851" t="str">
        <f>Tb_Fuel[[#Headers],[Spain - Feed-in electricity price]]</f>
        <v>Spain - Feed-in electricity price</v>
      </c>
      <c r="BH2" s="851" t="str">
        <f>Tb_Fuel[[#Headers],[Norway - Feed-in electricity price]]</f>
        <v>Norway - Feed-in electricity price</v>
      </c>
      <c r="BI2" s="851" t="str">
        <f>Tb_Fuel[[#Headers],[Qatar - Feed-in electricity price]]</f>
        <v>Qatar - Feed-in electricity price</v>
      </c>
      <c r="BJ2" s="851" t="str">
        <f>Tb_Fuel[[#Headers],[Algeria - Feed-in electricity price]]</f>
        <v>Algeria - Feed-in electricity price</v>
      </c>
      <c r="BK2" s="851" t="str">
        <f>Tb_Fuel[[#Headers],[Germany - Gas]]</f>
        <v>Germany - Gas</v>
      </c>
      <c r="BL2" s="851" t="str">
        <f>Tb_Fuel[[#Headers],[France - Gas]]</f>
        <v>France - Gas</v>
      </c>
      <c r="BM2" s="851" t="str">
        <f>Tb_Fuel[[#Headers],[Spain - Gas]]</f>
        <v>Spain - Gas</v>
      </c>
      <c r="BN2" s="851" t="str">
        <f>Tb_Fuel[[#Headers],[Algeria - Gas]]</f>
        <v>Algeria - Gas</v>
      </c>
      <c r="BO2" s="851" t="str">
        <f>Tb_Fuel[[#Headers],[Norway - Gas]]</f>
        <v>Norway - Gas</v>
      </c>
      <c r="BP2" s="851" t="str">
        <f>Tb_Fuel[[#Headers],[Qatar - Gas]]</f>
        <v>Qatar - Gas</v>
      </c>
      <c r="BQ2" s="851" t="str">
        <f>Tb_Fuel[[#Headers],[Germany - CO2 Price]]</f>
        <v>Germany - CO2 Price</v>
      </c>
      <c r="BR2" s="851" t="str">
        <f>Tb_Fuel[[#Headers],[France - CO2 Price]]</f>
        <v>France - CO2 Price</v>
      </c>
      <c r="BS2" s="851" t="str">
        <f>Tb_Fuel[[#Headers],[Spain - CO2 Price]]</f>
        <v>Spain - CO2 Price</v>
      </c>
      <c r="BT2" s="851" t="str">
        <f>Tb_Fuel[[#Headers],[Algeria - CO2 Price]]</f>
        <v>Algeria - CO2 Price</v>
      </c>
      <c r="BU2" s="851" t="str">
        <f>Tb_Fuel[[#Headers],[Norway - CO2 Price]]</f>
        <v>Norway - CO2 Price</v>
      </c>
      <c r="BV2" s="851" t="str">
        <f>Tb_Fuel[[#Headers],[Qatar - CO2 Price]]</f>
        <v>Qatar - CO2 Price</v>
      </c>
      <c r="BW2" s="851" t="str">
        <f>Tb_Fuel[[#Headers],[Global - Diesel]]</f>
        <v>Global - Diesel</v>
      </c>
      <c r="BX2" s="851" t="str">
        <f>Tb_Fuel[[#Headers],[Global - HFO]]</f>
        <v>Global - HFO</v>
      </c>
    </row>
    <row r="3" spans="1:76">
      <c r="A3" s="49"/>
      <c r="B3" s="133">
        <v>1</v>
      </c>
      <c r="C3" s="133">
        <v>2</v>
      </c>
      <c r="D3" s="133">
        <v>3</v>
      </c>
      <c r="E3" s="133">
        <v>4</v>
      </c>
      <c r="F3" s="133">
        <v>5</v>
      </c>
      <c r="G3" s="133">
        <v>6</v>
      </c>
      <c r="H3" s="133">
        <v>7</v>
      </c>
      <c r="I3" s="133">
        <v>8</v>
      </c>
      <c r="J3" s="133">
        <v>9</v>
      </c>
      <c r="K3" s="133">
        <v>10</v>
      </c>
      <c r="L3" s="133">
        <v>11</v>
      </c>
      <c r="M3" s="133">
        <v>12</v>
      </c>
      <c r="N3" s="133">
        <v>13</v>
      </c>
      <c r="O3" s="133">
        <v>14</v>
      </c>
      <c r="P3" s="133">
        <v>15</v>
      </c>
      <c r="Q3" s="133">
        <v>16</v>
      </c>
      <c r="R3" s="133">
        <v>17</v>
      </c>
      <c r="S3" s="133">
        <v>18</v>
      </c>
      <c r="T3" s="133">
        <v>19</v>
      </c>
      <c r="U3" s="133">
        <v>20</v>
      </c>
      <c r="V3" s="133">
        <v>21</v>
      </c>
      <c r="W3" s="133">
        <v>22</v>
      </c>
      <c r="X3" s="133">
        <v>23</v>
      </c>
      <c r="Y3" s="133">
        <v>24</v>
      </c>
      <c r="Z3" s="133">
        <v>25</v>
      </c>
      <c r="AA3" s="133">
        <v>26</v>
      </c>
      <c r="AB3" s="133">
        <v>27</v>
      </c>
      <c r="AC3" s="133">
        <v>28</v>
      </c>
      <c r="AD3" s="133">
        <v>29</v>
      </c>
      <c r="AE3" s="133">
        <v>30</v>
      </c>
      <c r="AF3" s="133">
        <v>31</v>
      </c>
      <c r="AG3" s="133">
        <v>32</v>
      </c>
      <c r="AH3" s="133">
        <v>33</v>
      </c>
      <c r="AI3" s="133">
        <v>34</v>
      </c>
      <c r="AJ3" s="133">
        <v>35</v>
      </c>
      <c r="AK3" s="133">
        <v>36</v>
      </c>
      <c r="AL3" s="133">
        <v>37</v>
      </c>
      <c r="AM3" s="133">
        <v>38</v>
      </c>
      <c r="AN3" s="133">
        <v>39</v>
      </c>
      <c r="AO3" s="133">
        <v>40</v>
      </c>
      <c r="AP3" s="133">
        <v>41</v>
      </c>
      <c r="AQ3" s="133">
        <v>42</v>
      </c>
      <c r="AR3" s="133">
        <v>43</v>
      </c>
      <c r="AS3" s="133">
        <v>44</v>
      </c>
      <c r="AT3" s="133">
        <v>45</v>
      </c>
      <c r="AU3" s="139">
        <v>46</v>
      </c>
      <c r="BA3" s="364"/>
      <c r="BB3" s="364">
        <v>1</v>
      </c>
      <c r="BC3" s="364">
        <v>2</v>
      </c>
      <c r="BD3" s="364">
        <v>3</v>
      </c>
      <c r="BE3" s="364">
        <v>4</v>
      </c>
      <c r="BF3" s="364">
        <v>5</v>
      </c>
      <c r="BG3" s="364">
        <v>6</v>
      </c>
      <c r="BH3" s="364">
        <v>7</v>
      </c>
      <c r="BI3" s="364">
        <v>8</v>
      </c>
      <c r="BJ3" s="364">
        <v>9</v>
      </c>
      <c r="BK3" s="364">
        <v>10</v>
      </c>
      <c r="BL3" s="364">
        <v>11</v>
      </c>
      <c r="BM3" s="364">
        <v>12</v>
      </c>
      <c r="BN3" s="364">
        <v>13</v>
      </c>
      <c r="BO3" s="364">
        <v>14</v>
      </c>
      <c r="BP3" s="364">
        <v>15</v>
      </c>
      <c r="BQ3" s="364">
        <v>16</v>
      </c>
      <c r="BR3" s="364">
        <v>17</v>
      </c>
      <c r="BS3" s="364">
        <v>18</v>
      </c>
      <c r="BT3" s="364">
        <v>19</v>
      </c>
      <c r="BU3" s="364">
        <v>20</v>
      </c>
      <c r="BV3" s="364">
        <v>21</v>
      </c>
      <c r="BW3" s="364">
        <v>22</v>
      </c>
      <c r="BX3" s="364">
        <v>23</v>
      </c>
    </row>
    <row r="4" spans="1:76">
      <c r="A4" s="108" t="s">
        <v>530</v>
      </c>
      <c r="B4" s="109" t="s">
        <v>1023</v>
      </c>
      <c r="C4" s="110" t="s">
        <v>245</v>
      </c>
      <c r="D4" s="109" t="s">
        <v>1024</v>
      </c>
      <c r="E4" s="110" t="s">
        <v>1025</v>
      </c>
      <c r="F4" s="109" t="s">
        <v>1026</v>
      </c>
      <c r="G4" s="110" t="s">
        <v>1027</v>
      </c>
      <c r="H4" s="109" t="s">
        <v>1028</v>
      </c>
      <c r="I4" s="110" t="s">
        <v>1029</v>
      </c>
      <c r="J4" s="109" t="s">
        <v>1030</v>
      </c>
      <c r="K4" s="110" t="s">
        <v>1031</v>
      </c>
      <c r="L4" s="109" t="s">
        <v>1032</v>
      </c>
      <c r="M4" s="110" t="s">
        <v>1033</v>
      </c>
      <c r="N4" s="109" t="s">
        <v>1034</v>
      </c>
      <c r="O4" s="110" t="s">
        <v>1035</v>
      </c>
      <c r="P4" s="109" t="s">
        <v>1036</v>
      </c>
      <c r="Q4" s="110" t="s">
        <v>1037</v>
      </c>
      <c r="R4" s="109" t="s">
        <v>1038</v>
      </c>
      <c r="S4" s="110" t="s">
        <v>1039</v>
      </c>
      <c r="T4" s="109" t="s">
        <v>1040</v>
      </c>
      <c r="U4" s="110" t="s">
        <v>1041</v>
      </c>
      <c r="V4" s="109" t="s">
        <v>1042</v>
      </c>
      <c r="W4" s="110" t="s">
        <v>1043</v>
      </c>
      <c r="X4" s="109" t="s">
        <v>1044</v>
      </c>
      <c r="Y4" s="110" t="s">
        <v>1045</v>
      </c>
      <c r="Z4" s="109" t="s">
        <v>1046</v>
      </c>
      <c r="AA4" s="110" t="s">
        <v>1047</v>
      </c>
      <c r="AB4" s="109" t="s">
        <v>1048</v>
      </c>
      <c r="AC4" s="110" t="s">
        <v>1049</v>
      </c>
      <c r="AD4" s="109" t="s">
        <v>1050</v>
      </c>
      <c r="AE4" s="110" t="s">
        <v>1051</v>
      </c>
      <c r="AF4" s="109" t="s">
        <v>1052</v>
      </c>
      <c r="AG4" s="110" t="s">
        <v>1053</v>
      </c>
      <c r="AH4" s="109" t="s">
        <v>1054</v>
      </c>
      <c r="AI4" s="110" t="s">
        <v>1055</v>
      </c>
      <c r="AJ4" s="109" t="s">
        <v>1056</v>
      </c>
      <c r="AK4" s="110" t="s">
        <v>1057</v>
      </c>
      <c r="AL4" s="109" t="s">
        <v>1058</v>
      </c>
      <c r="AM4" s="110" t="s">
        <v>1059</v>
      </c>
      <c r="AN4" s="109" t="s">
        <v>1060</v>
      </c>
      <c r="AO4" s="110" t="s">
        <v>1061</v>
      </c>
      <c r="AP4" s="109" t="s">
        <v>1062</v>
      </c>
      <c r="AQ4" s="110" t="s">
        <v>1063</v>
      </c>
      <c r="AR4" s="109" t="s">
        <v>1064</v>
      </c>
      <c r="AS4" s="110" t="s">
        <v>1065</v>
      </c>
      <c r="AT4" s="109" t="s">
        <v>1066</v>
      </c>
      <c r="AU4" s="111" t="s">
        <v>1067</v>
      </c>
      <c r="BA4" s="852" t="s">
        <v>530</v>
      </c>
      <c r="BB4" s="853" t="s">
        <v>1023</v>
      </c>
      <c r="BC4" s="853" t="s">
        <v>1024</v>
      </c>
      <c r="BD4" s="853" t="s">
        <v>1026</v>
      </c>
      <c r="BE4" s="853" t="s">
        <v>1028</v>
      </c>
      <c r="BF4" s="853" t="s">
        <v>1030</v>
      </c>
      <c r="BG4" s="853" t="s">
        <v>1032</v>
      </c>
      <c r="BH4" s="853" t="s">
        <v>1034</v>
      </c>
      <c r="BI4" s="853" t="s">
        <v>1036</v>
      </c>
      <c r="BJ4" s="853" t="s">
        <v>1038</v>
      </c>
      <c r="BK4" s="853" t="s">
        <v>1040</v>
      </c>
      <c r="BL4" s="853" t="s">
        <v>1042</v>
      </c>
      <c r="BM4" s="853" t="s">
        <v>1044</v>
      </c>
      <c r="BN4" s="853" t="s">
        <v>1046</v>
      </c>
      <c r="BO4" s="853" t="s">
        <v>1048</v>
      </c>
      <c r="BP4" s="853" t="s">
        <v>1050</v>
      </c>
      <c r="BQ4" s="853" t="s">
        <v>1052</v>
      </c>
      <c r="BR4" s="853" t="s">
        <v>1054</v>
      </c>
      <c r="BS4" s="853" t="s">
        <v>1056</v>
      </c>
      <c r="BT4" s="853" t="s">
        <v>1058</v>
      </c>
      <c r="BU4" s="853" t="s">
        <v>1060</v>
      </c>
      <c r="BV4" s="853" t="s">
        <v>1062</v>
      </c>
      <c r="BW4" s="853" t="s">
        <v>1064</v>
      </c>
      <c r="BX4" s="853" t="s">
        <v>1066</v>
      </c>
    </row>
    <row r="5" spans="1:76">
      <c r="A5" s="107">
        <v>2022</v>
      </c>
      <c r="B5" s="113">
        <v>0.13900000000000001</v>
      </c>
      <c r="C5" s="857"/>
      <c r="D5" s="113">
        <v>0.219</v>
      </c>
      <c r="E5" s="857"/>
      <c r="F5" s="113">
        <v>0.11</v>
      </c>
      <c r="G5" s="857"/>
      <c r="H5" s="113"/>
      <c r="I5" s="857"/>
      <c r="J5" s="113"/>
      <c r="K5" s="857"/>
      <c r="L5" s="113"/>
      <c r="M5" s="857"/>
      <c r="N5" s="113"/>
      <c r="O5" s="857"/>
      <c r="P5" s="113"/>
      <c r="Q5" s="857"/>
      <c r="R5" s="113"/>
      <c r="S5" s="857"/>
      <c r="T5" s="113">
        <v>9.1749999999999998E-2</v>
      </c>
      <c r="U5" s="857"/>
      <c r="V5" s="113">
        <v>9.1749999999999998E-2</v>
      </c>
      <c r="W5" s="857"/>
      <c r="X5" s="113">
        <v>9.1749999999999998E-2</v>
      </c>
      <c r="Y5" s="857"/>
      <c r="Z5" s="113">
        <f>3/1000</f>
        <v>3.0000000000000001E-3</v>
      </c>
      <c r="AA5" s="857"/>
      <c r="AB5" s="113">
        <f>8/1000</f>
        <v>8.0000000000000002E-3</v>
      </c>
      <c r="AC5" s="857"/>
      <c r="AD5" s="113">
        <f>4/1000</f>
        <v>4.0000000000000001E-3</v>
      </c>
      <c r="AE5" s="857"/>
      <c r="AF5" s="113">
        <v>80</v>
      </c>
      <c r="AG5" s="857"/>
      <c r="AH5" s="113">
        <v>80</v>
      </c>
      <c r="AI5" s="857"/>
      <c r="AJ5" s="113">
        <v>80</v>
      </c>
      <c r="AK5" s="857"/>
      <c r="AL5" s="113">
        <v>0</v>
      </c>
      <c r="AM5" s="857"/>
      <c r="AN5" s="113">
        <v>80</v>
      </c>
      <c r="AO5" s="857"/>
      <c r="AP5" s="113">
        <v>0</v>
      </c>
      <c r="AQ5" s="857"/>
      <c r="AR5" s="113">
        <v>1.3</v>
      </c>
      <c r="AS5" s="857"/>
      <c r="AT5" s="113">
        <f>500/1000/'General values'!$M$24/'General values'!$B$30</f>
        <v>1.0113910956318826E-2</v>
      </c>
      <c r="AU5" s="859"/>
      <c r="BA5" s="854">
        <v>2022</v>
      </c>
      <c r="BB5" s="855">
        <f>IF(ISBLANK(Tb_Fuel38[[#This Row],[Override]]),Tb_Fuel38[[#This Row],[Germany - Grid]],Tb_Fuel38[[#This Row],[Override]])</f>
        <v>0.13900000000000001</v>
      </c>
      <c r="BC5" s="855">
        <f>IF(ISBLANK(Tb_Fuel38[[#This Row],[Override2]]),Tb_Fuel38[[#This Row],[France - Grid]],Tb_Fuel38[[#This Row],[Override2]])</f>
        <v>0.219</v>
      </c>
      <c r="BD5" s="855">
        <f>IF(ISBLANK(Tb_Fuel38[[#This Row],[Override3]]),Tb_Fuel38[[#This Row],[Spain - Grid]],Tb_Fuel38[[#This Row],[Override3]])</f>
        <v>0.11</v>
      </c>
      <c r="BE5" s="855">
        <f>IF(ISBLANK(Tb_Fuel38[[#This Row],[Override18]]),Tb_Fuel38[[#This Row],[Germany - Feed-in electricity price]],Tb_Fuel38[[#This Row],[Override18]])</f>
        <v>0</v>
      </c>
      <c r="BF5" s="855">
        <f>IF(ISBLANK(Tb_Fuel38[[#This Row],[Override220]]),Tb_Fuel38[[#This Row],[France - Feed-in electricity price]],Tb_Fuel38[[#This Row],[Override220]])</f>
        <v>0</v>
      </c>
      <c r="BG5" s="855">
        <f>IF(ISBLANK(Tb_Fuel38[[#This Row],[Override322]]),Tb_Fuel38[[#This Row],[Spain - Feed-in electricity price]],Tb_Fuel38[[#This Row],[Override322]])</f>
        <v>0</v>
      </c>
      <c r="BH5" s="855">
        <f>IF(ISBLANK(Tb_Fuel38[[#This Row],[Override183]]),Tb_Fuel38[[#This Row],[Norway - Feed-in electricity price]],Tb_Fuel38[[#This Row],[Override183]])</f>
        <v>0</v>
      </c>
      <c r="BI5" s="855">
        <f>IF(ISBLANK(Tb_Fuel38[[#This Row],[Override2205]]),Tb_Fuel38[[#This Row],[Qatar - Feed-in electricity price]],Tb_Fuel38[[#This Row],[Override2205]])</f>
        <v>0</v>
      </c>
      <c r="BJ5" s="855">
        <f>IF(ISBLANK(Tb_Fuel38[[#This Row],[Override3227]]),Tb_Fuel38[[#This Row],[Algeria - Feed-in electricity price]],Tb_Fuel38[[#This Row],[Override3227]])</f>
        <v>0</v>
      </c>
      <c r="BK5" s="855">
        <f>IF(ISBLANK(Tb_Fuel38[[#This Row],[Override4]]),Tb_Fuel38[[#This Row],[Germany - Gas]],Tb_Fuel38[[#This Row],[Override4]])</f>
        <v>9.1749999999999998E-2</v>
      </c>
      <c r="BL5" s="855">
        <f>IF(ISBLANK(Tb_Fuel38[[#This Row],[Override5]]),Tb_Fuel38[[#This Row],[France - Gas]],Tb_Fuel38[[#This Row],[Override5]])</f>
        <v>9.1749999999999998E-2</v>
      </c>
      <c r="BM5" s="855">
        <f>IF(ISBLANK(Tb_Fuel38[[#This Row],[Override6]]),Tb_Fuel38[[#This Row],[Spain - Gas]],Tb_Fuel38[[#This Row],[Override6]])</f>
        <v>9.1749999999999998E-2</v>
      </c>
      <c r="BN5" s="855">
        <f>IF(ISBLANK(Tb_Fuel38[[#This Row],[Override7]]),Tb_Fuel38[[#This Row],[Algeria - Gas]],Tb_Fuel38[[#This Row],[Override7]])</f>
        <v>3.0000000000000001E-3</v>
      </c>
      <c r="BO5" s="855">
        <f>IF(ISBLANK(Tb_Fuel38[[#This Row],[Override8]]),Tb_Fuel38[[#This Row],[Norway - Gas]],Tb_Fuel38[[#This Row],[Override8]])</f>
        <v>8.0000000000000002E-3</v>
      </c>
      <c r="BP5" s="855">
        <f>IF(ISBLANK(Tb_Fuel38[[#This Row],[Override9]]),Tb_Fuel38[[#This Row],[Qatar - Gas]],Tb_Fuel38[[#This Row],[Override9]])</f>
        <v>4.0000000000000001E-3</v>
      </c>
      <c r="BQ5" s="855">
        <f>IF(ISBLANK(Tb_Fuel38[[#This Row],[Override10]]),Tb_Fuel38[[#This Row],[Germany - CO2 Price]],Tb_Fuel38[[#This Row],[Override10]])</f>
        <v>80</v>
      </c>
      <c r="BR5" s="855">
        <f>IF(ISBLANK(Tb_Fuel38[[#This Row],[Override11]]),Tb_Fuel38[[#This Row],[France - CO2 Price]],Tb_Fuel38[[#This Row],[Override11]])</f>
        <v>80</v>
      </c>
      <c r="BS5" s="855">
        <f>IF(ISBLANK(Tb_Fuel38[[#This Row],[Override12]]),Tb_Fuel38[[#This Row],[Spain - CO2 Price]],Tb_Fuel38[[#This Row],[Override12]])</f>
        <v>80</v>
      </c>
      <c r="BT5" s="855">
        <f>IF(ISBLANK(Tb_Fuel38[[#This Row],[Override13]]),Tb_Fuel38[[#This Row],[Algeria - CO2 Price]],Tb_Fuel38[[#This Row],[Override13]])</f>
        <v>0</v>
      </c>
      <c r="BU5" s="855">
        <f>IF(ISBLANK(Tb_Fuel38[[#This Row],[Override14]]),Tb_Fuel38[[#This Row],[Norway - CO2 Price]],Tb_Fuel38[[#This Row],[Override14]])</f>
        <v>80</v>
      </c>
      <c r="BV5" s="855">
        <f>IF(ISBLANK(Tb_Fuel38[[#This Row],[Override15]]),Tb_Fuel38[[#This Row],[Qatar - CO2 Price]],Tb_Fuel38[[#This Row],[Override15]])</f>
        <v>0</v>
      </c>
      <c r="BW5" s="855">
        <f>IF(ISBLANK(Tb_Fuel38[[#This Row],[Override16]]),Tb_Fuel38[[#This Row],[Global - Diesel]],Tb_Fuel38[[#This Row],[Override16]])</f>
        <v>1.3</v>
      </c>
      <c r="BX5" s="855">
        <f>IF(ISBLANK(Tb_Fuel38[[#This Row],[Override17]]),Tb_Fuel38[[#This Row],[Global - HFO]],Tb_Fuel38[[#This Row],[Override17]])</f>
        <v>1.0113910956318826E-2</v>
      </c>
    </row>
    <row r="6" spans="1:76">
      <c r="A6" s="107">
        <v>2023</v>
      </c>
      <c r="B6" s="113">
        <v>0.13900000000000001</v>
      </c>
      <c r="C6" s="857"/>
      <c r="D6" s="113">
        <v>0.219</v>
      </c>
      <c r="E6" s="857"/>
      <c r="F6" s="113">
        <v>0.11</v>
      </c>
      <c r="G6" s="857"/>
      <c r="H6" s="113"/>
      <c r="I6" s="857"/>
      <c r="J6" s="113"/>
      <c r="K6" s="857"/>
      <c r="L6" s="113"/>
      <c r="M6" s="857"/>
      <c r="N6" s="113"/>
      <c r="O6" s="857"/>
      <c r="P6" s="113"/>
      <c r="Q6" s="857"/>
      <c r="R6" s="113"/>
      <c r="S6" s="857"/>
      <c r="T6" s="113">
        <v>7.4424999999999991E-2</v>
      </c>
      <c r="U6" s="857"/>
      <c r="V6" s="113">
        <v>7.4424999999999991E-2</v>
      </c>
      <c r="W6" s="857"/>
      <c r="X6" s="113">
        <v>7.4424999999999991E-2</v>
      </c>
      <c r="Y6" s="857"/>
      <c r="Z6" s="113">
        <f t="shared" ref="Z6:Z13" si="0">3/1000</f>
        <v>3.0000000000000001E-3</v>
      </c>
      <c r="AA6" s="857"/>
      <c r="AB6" s="113">
        <f t="shared" ref="AB6:AB13" si="1">8/1000</f>
        <v>8.0000000000000002E-3</v>
      </c>
      <c r="AC6" s="857"/>
      <c r="AD6" s="113">
        <f t="shared" ref="AD6:AD13" si="2">4/1000</f>
        <v>4.0000000000000001E-3</v>
      </c>
      <c r="AE6" s="857"/>
      <c r="AF6" s="113">
        <f>(AF$13-AF$5)*(Tb_Fuel38[[#This Row],[Year]]-$A$5)/($A$13-$A$5)+AF$5</f>
        <v>82.682844339223806</v>
      </c>
      <c r="AG6" s="857"/>
      <c r="AH6" s="113">
        <f>(AH$13-AH$5)*(Tb_Fuel38[[#This Row],[Year]]-$A$5)/($A$13-$A$5)+AH$5</f>
        <v>82.682844339223806</v>
      </c>
      <c r="AI6" s="857"/>
      <c r="AJ6" s="113">
        <f>(AJ$13-AJ$5)*(Tb_Fuel38[[#This Row],[Year]]-$A$5)/($A$13-$A$5)+AJ$5</f>
        <v>82.682844339223806</v>
      </c>
      <c r="AK6" s="857"/>
      <c r="AL6" s="113">
        <v>0</v>
      </c>
      <c r="AM6" s="857"/>
      <c r="AN6" s="113">
        <f>(AN$13-AN$5)*(Tb_Fuel38[[#This Row],[Year]]-$A$5)/($A$13-$A$5)+AN$5</f>
        <v>82.682844339223806</v>
      </c>
      <c r="AO6" s="857"/>
      <c r="AP6" s="113">
        <v>0</v>
      </c>
      <c r="AQ6" s="857"/>
      <c r="AR6" s="113">
        <v>1.3</v>
      </c>
      <c r="AS6" s="857"/>
      <c r="AT6" s="113">
        <f>500/1000/'General values'!$M$24/'General values'!$B$30</f>
        <v>1.0113910956318826E-2</v>
      </c>
      <c r="AU6" s="857"/>
      <c r="BA6" s="854">
        <v>2023</v>
      </c>
      <c r="BB6" s="855">
        <f>IF(ISBLANK(Tb_Fuel38[[#This Row],[Override]]),Tb_Fuel38[[#This Row],[Germany - Grid]],Tb_Fuel38[[#This Row],[Override]])</f>
        <v>0.13900000000000001</v>
      </c>
      <c r="BC6" s="855">
        <f>IF(ISBLANK(Tb_Fuel38[[#This Row],[Override2]]),Tb_Fuel38[[#This Row],[France - Grid]],Tb_Fuel38[[#This Row],[Override2]])</f>
        <v>0.219</v>
      </c>
      <c r="BD6" s="855">
        <f>IF(ISBLANK(Tb_Fuel38[[#This Row],[Override3]]),Tb_Fuel38[[#This Row],[Spain - Grid]],Tb_Fuel38[[#This Row],[Override3]])</f>
        <v>0.11</v>
      </c>
      <c r="BE6" s="855">
        <f>IF(ISBLANK(Tb_Fuel38[[#This Row],[Override18]]),Tb_Fuel38[[#This Row],[Germany - Feed-in electricity price]],Tb_Fuel38[[#This Row],[Override18]])</f>
        <v>0</v>
      </c>
      <c r="BF6" s="855">
        <f>IF(ISBLANK(Tb_Fuel38[[#This Row],[Override220]]),Tb_Fuel38[[#This Row],[France - Feed-in electricity price]],Tb_Fuel38[[#This Row],[Override220]])</f>
        <v>0</v>
      </c>
      <c r="BG6" s="855">
        <f>IF(ISBLANK(Tb_Fuel38[[#This Row],[Override322]]),Tb_Fuel38[[#This Row],[Spain - Feed-in electricity price]],Tb_Fuel38[[#This Row],[Override322]])</f>
        <v>0</v>
      </c>
      <c r="BH6" s="855">
        <f>IF(ISBLANK(Tb_Fuel38[[#This Row],[Override183]]),Tb_Fuel38[[#This Row],[Norway - Feed-in electricity price]],Tb_Fuel38[[#This Row],[Override183]])</f>
        <v>0</v>
      </c>
      <c r="BI6" s="855">
        <f>IF(ISBLANK(Tb_Fuel38[[#This Row],[Override2205]]),Tb_Fuel38[[#This Row],[Qatar - Feed-in electricity price]],Tb_Fuel38[[#This Row],[Override2205]])</f>
        <v>0</v>
      </c>
      <c r="BJ6" s="855">
        <f>IF(ISBLANK(Tb_Fuel38[[#This Row],[Override3227]]),Tb_Fuel38[[#This Row],[Algeria - Feed-in electricity price]],Tb_Fuel38[[#This Row],[Override3227]])</f>
        <v>0</v>
      </c>
      <c r="BK6" s="855">
        <f>IF(ISBLANK(Tb_Fuel38[[#This Row],[Override4]]),Tb_Fuel38[[#This Row],[Germany - Gas]],Tb_Fuel38[[#This Row],[Override4]])</f>
        <v>7.4424999999999991E-2</v>
      </c>
      <c r="BL6" s="855">
        <f>IF(ISBLANK(Tb_Fuel38[[#This Row],[Override5]]),Tb_Fuel38[[#This Row],[France - Gas]],Tb_Fuel38[[#This Row],[Override5]])</f>
        <v>7.4424999999999991E-2</v>
      </c>
      <c r="BM6" s="855">
        <f>IF(ISBLANK(Tb_Fuel38[[#This Row],[Override6]]),Tb_Fuel38[[#This Row],[Spain - Gas]],Tb_Fuel38[[#This Row],[Override6]])</f>
        <v>7.4424999999999991E-2</v>
      </c>
      <c r="BN6" s="855">
        <f>IF(ISBLANK(Tb_Fuel38[[#This Row],[Override7]]),Tb_Fuel38[[#This Row],[Algeria - Gas]],Tb_Fuel38[[#This Row],[Override7]])</f>
        <v>3.0000000000000001E-3</v>
      </c>
      <c r="BO6" s="855">
        <f>IF(ISBLANK(Tb_Fuel38[[#This Row],[Override8]]),Tb_Fuel38[[#This Row],[Norway - Gas]],Tb_Fuel38[[#This Row],[Override8]])</f>
        <v>8.0000000000000002E-3</v>
      </c>
      <c r="BP6" s="855">
        <f>IF(ISBLANK(Tb_Fuel38[[#This Row],[Override9]]),Tb_Fuel38[[#This Row],[Qatar - Gas]],Tb_Fuel38[[#This Row],[Override9]])</f>
        <v>4.0000000000000001E-3</v>
      </c>
      <c r="BQ6" s="855">
        <f>IF(ISBLANK(Tb_Fuel38[[#This Row],[Override10]]),Tb_Fuel38[[#This Row],[Germany - CO2 Price]],Tb_Fuel38[[#This Row],[Override10]])</f>
        <v>82.682844339223806</v>
      </c>
      <c r="BR6" s="855">
        <f>IF(ISBLANK(Tb_Fuel38[[#This Row],[Override11]]),Tb_Fuel38[[#This Row],[France - CO2 Price]],Tb_Fuel38[[#This Row],[Override11]])</f>
        <v>82.682844339223806</v>
      </c>
      <c r="BS6" s="855">
        <f>IF(ISBLANK(Tb_Fuel38[[#This Row],[Override12]]),Tb_Fuel38[[#This Row],[Spain - CO2 Price]],Tb_Fuel38[[#This Row],[Override12]])</f>
        <v>82.682844339223806</v>
      </c>
      <c r="BT6" s="855">
        <f>IF(ISBLANK(Tb_Fuel38[[#This Row],[Override13]]),Tb_Fuel38[[#This Row],[Algeria - CO2 Price]],Tb_Fuel38[[#This Row],[Override13]])</f>
        <v>0</v>
      </c>
      <c r="BU6" s="855">
        <f>IF(ISBLANK(Tb_Fuel38[[#This Row],[Override14]]),Tb_Fuel38[[#This Row],[Norway - CO2 Price]],Tb_Fuel38[[#This Row],[Override14]])</f>
        <v>82.682844339223806</v>
      </c>
      <c r="BV6" s="855">
        <f>IF(ISBLANK(Tb_Fuel38[[#This Row],[Override15]]),Tb_Fuel38[[#This Row],[Qatar - CO2 Price]],Tb_Fuel38[[#This Row],[Override15]])</f>
        <v>0</v>
      </c>
      <c r="BW6" s="855">
        <f>IF(ISBLANK(Tb_Fuel38[[#This Row],[Override16]]),Tb_Fuel38[[#This Row],[Global - Diesel]],Tb_Fuel38[[#This Row],[Override16]])</f>
        <v>1.3</v>
      </c>
      <c r="BX6" s="855">
        <f>IF(ISBLANK(Tb_Fuel38[[#This Row],[Override17]]),Tb_Fuel38[[#This Row],[Global - HFO]],Tb_Fuel38[[#This Row],[Override17]])</f>
        <v>1.0113910956318826E-2</v>
      </c>
    </row>
    <row r="7" spans="1:76">
      <c r="A7" s="107">
        <v>2024</v>
      </c>
      <c r="B7" s="113">
        <v>0.11799999999999999</v>
      </c>
      <c r="C7" s="857"/>
      <c r="D7" s="113">
        <v>0.17599999999999999</v>
      </c>
      <c r="E7" s="857"/>
      <c r="F7" s="113">
        <v>0.11</v>
      </c>
      <c r="G7" s="857"/>
      <c r="H7" s="113"/>
      <c r="I7" s="857"/>
      <c r="J7" s="113"/>
      <c r="K7" s="857"/>
      <c r="L7" s="113"/>
      <c r="M7" s="857"/>
      <c r="N7" s="113"/>
      <c r="O7" s="857"/>
      <c r="P7" s="113"/>
      <c r="Q7" s="857"/>
      <c r="R7" s="113"/>
      <c r="S7" s="857"/>
      <c r="T7" s="113">
        <v>5.6799999999999996E-2</v>
      </c>
      <c r="U7" s="857"/>
      <c r="V7" s="113">
        <v>5.6799999999999996E-2</v>
      </c>
      <c r="W7" s="857"/>
      <c r="X7" s="113">
        <v>5.6799999999999996E-2</v>
      </c>
      <c r="Y7" s="857"/>
      <c r="Z7" s="113">
        <f t="shared" si="0"/>
        <v>3.0000000000000001E-3</v>
      </c>
      <c r="AA7" s="857"/>
      <c r="AB7" s="113">
        <f t="shared" si="1"/>
        <v>8.0000000000000002E-3</v>
      </c>
      <c r="AC7" s="857"/>
      <c r="AD7" s="113">
        <f t="shared" si="2"/>
        <v>4.0000000000000001E-3</v>
      </c>
      <c r="AE7" s="857"/>
      <c r="AF7" s="113">
        <f>(AF$13-AF$5)*(Tb_Fuel38[[#This Row],[Year]]-$A$5)/($A$13-$A$5)+AF$5</f>
        <v>85.365688678447611</v>
      </c>
      <c r="AG7" s="857"/>
      <c r="AH7" s="113">
        <f>(AH$13-AH$5)*(Tb_Fuel38[[#This Row],[Year]]-$A$5)/($A$13-$A$5)+AH$5</f>
        <v>85.365688678447611</v>
      </c>
      <c r="AI7" s="857"/>
      <c r="AJ7" s="113">
        <f>(AJ$13-AJ$5)*(Tb_Fuel38[[#This Row],[Year]]-$A$5)/($A$13-$A$5)+AJ$5</f>
        <v>85.365688678447611</v>
      </c>
      <c r="AK7" s="857"/>
      <c r="AL7" s="113">
        <v>0</v>
      </c>
      <c r="AM7" s="857"/>
      <c r="AN7" s="113">
        <f>(AN$13-AN$5)*(Tb_Fuel38[[#This Row],[Year]]-$A$5)/($A$13-$A$5)+AN$5</f>
        <v>85.365688678447611</v>
      </c>
      <c r="AO7" s="857"/>
      <c r="AP7" s="113">
        <v>0</v>
      </c>
      <c r="AQ7" s="857"/>
      <c r="AR7" s="113">
        <v>1.3</v>
      </c>
      <c r="AS7" s="857"/>
      <c r="AT7" s="113">
        <f>500/1000/'General values'!$M$24/'General values'!$B$30</f>
        <v>1.0113910956318826E-2</v>
      </c>
      <c r="AU7" s="857"/>
      <c r="BA7" s="854">
        <v>2024</v>
      </c>
      <c r="BB7" s="855">
        <f>IF(ISBLANK(Tb_Fuel38[[#This Row],[Override]]),Tb_Fuel38[[#This Row],[Germany - Grid]],Tb_Fuel38[[#This Row],[Override]])</f>
        <v>0.11799999999999999</v>
      </c>
      <c r="BC7" s="855">
        <f>IF(ISBLANK(Tb_Fuel38[[#This Row],[Override2]]),Tb_Fuel38[[#This Row],[France - Grid]],Tb_Fuel38[[#This Row],[Override2]])</f>
        <v>0.17599999999999999</v>
      </c>
      <c r="BD7" s="855">
        <f>IF(ISBLANK(Tb_Fuel38[[#This Row],[Override3]]),Tb_Fuel38[[#This Row],[Spain - Grid]],Tb_Fuel38[[#This Row],[Override3]])</f>
        <v>0.11</v>
      </c>
      <c r="BE7" s="855">
        <f>IF(ISBLANK(Tb_Fuel38[[#This Row],[Override18]]),Tb_Fuel38[[#This Row],[Germany - Feed-in electricity price]],Tb_Fuel38[[#This Row],[Override18]])</f>
        <v>0</v>
      </c>
      <c r="BF7" s="855">
        <f>IF(ISBLANK(Tb_Fuel38[[#This Row],[Override220]]),Tb_Fuel38[[#This Row],[France - Feed-in electricity price]],Tb_Fuel38[[#This Row],[Override220]])</f>
        <v>0</v>
      </c>
      <c r="BG7" s="855">
        <f>IF(ISBLANK(Tb_Fuel38[[#This Row],[Override322]]),Tb_Fuel38[[#This Row],[Spain - Feed-in electricity price]],Tb_Fuel38[[#This Row],[Override322]])</f>
        <v>0</v>
      </c>
      <c r="BH7" s="855">
        <f>IF(ISBLANK(Tb_Fuel38[[#This Row],[Override183]]),Tb_Fuel38[[#This Row],[Norway - Feed-in electricity price]],Tb_Fuel38[[#This Row],[Override183]])</f>
        <v>0</v>
      </c>
      <c r="BI7" s="855">
        <f>IF(ISBLANK(Tb_Fuel38[[#This Row],[Override2205]]),Tb_Fuel38[[#This Row],[Qatar - Feed-in electricity price]],Tb_Fuel38[[#This Row],[Override2205]])</f>
        <v>0</v>
      </c>
      <c r="BJ7" s="855">
        <f>IF(ISBLANK(Tb_Fuel38[[#This Row],[Override3227]]),Tb_Fuel38[[#This Row],[Algeria - Feed-in electricity price]],Tb_Fuel38[[#This Row],[Override3227]])</f>
        <v>0</v>
      </c>
      <c r="BK7" s="855">
        <f>IF(ISBLANK(Tb_Fuel38[[#This Row],[Override4]]),Tb_Fuel38[[#This Row],[Germany - Gas]],Tb_Fuel38[[#This Row],[Override4]])</f>
        <v>5.6799999999999996E-2</v>
      </c>
      <c r="BL7" s="855">
        <f>IF(ISBLANK(Tb_Fuel38[[#This Row],[Override5]]),Tb_Fuel38[[#This Row],[France - Gas]],Tb_Fuel38[[#This Row],[Override5]])</f>
        <v>5.6799999999999996E-2</v>
      </c>
      <c r="BM7" s="855">
        <f>IF(ISBLANK(Tb_Fuel38[[#This Row],[Override6]]),Tb_Fuel38[[#This Row],[Spain - Gas]],Tb_Fuel38[[#This Row],[Override6]])</f>
        <v>5.6799999999999996E-2</v>
      </c>
      <c r="BN7" s="855">
        <f>IF(ISBLANK(Tb_Fuel38[[#This Row],[Override7]]),Tb_Fuel38[[#This Row],[Algeria - Gas]],Tb_Fuel38[[#This Row],[Override7]])</f>
        <v>3.0000000000000001E-3</v>
      </c>
      <c r="BO7" s="855">
        <f>IF(ISBLANK(Tb_Fuel38[[#This Row],[Override8]]),Tb_Fuel38[[#This Row],[Norway - Gas]],Tb_Fuel38[[#This Row],[Override8]])</f>
        <v>8.0000000000000002E-3</v>
      </c>
      <c r="BP7" s="855">
        <f>IF(ISBLANK(Tb_Fuel38[[#This Row],[Override9]]),Tb_Fuel38[[#This Row],[Qatar - Gas]],Tb_Fuel38[[#This Row],[Override9]])</f>
        <v>4.0000000000000001E-3</v>
      </c>
      <c r="BQ7" s="855">
        <f>IF(ISBLANK(Tb_Fuel38[[#This Row],[Override10]]),Tb_Fuel38[[#This Row],[Germany - CO2 Price]],Tb_Fuel38[[#This Row],[Override10]])</f>
        <v>85.365688678447611</v>
      </c>
      <c r="BR7" s="855">
        <f>IF(ISBLANK(Tb_Fuel38[[#This Row],[Override11]]),Tb_Fuel38[[#This Row],[France - CO2 Price]],Tb_Fuel38[[#This Row],[Override11]])</f>
        <v>85.365688678447611</v>
      </c>
      <c r="BS7" s="855">
        <f>IF(ISBLANK(Tb_Fuel38[[#This Row],[Override12]]),Tb_Fuel38[[#This Row],[Spain - CO2 Price]],Tb_Fuel38[[#This Row],[Override12]])</f>
        <v>85.365688678447611</v>
      </c>
      <c r="BT7" s="855">
        <f>IF(ISBLANK(Tb_Fuel38[[#This Row],[Override13]]),Tb_Fuel38[[#This Row],[Algeria - CO2 Price]],Tb_Fuel38[[#This Row],[Override13]])</f>
        <v>0</v>
      </c>
      <c r="BU7" s="855">
        <f>IF(ISBLANK(Tb_Fuel38[[#This Row],[Override14]]),Tb_Fuel38[[#This Row],[Norway - CO2 Price]],Tb_Fuel38[[#This Row],[Override14]])</f>
        <v>85.365688678447611</v>
      </c>
      <c r="BV7" s="855">
        <f>IF(ISBLANK(Tb_Fuel38[[#This Row],[Override15]]),Tb_Fuel38[[#This Row],[Qatar - CO2 Price]],Tb_Fuel38[[#This Row],[Override15]])</f>
        <v>0</v>
      </c>
      <c r="BW7" s="855">
        <f>IF(ISBLANK(Tb_Fuel38[[#This Row],[Override16]]),Tb_Fuel38[[#This Row],[Global - Diesel]],Tb_Fuel38[[#This Row],[Override16]])</f>
        <v>1.3</v>
      </c>
      <c r="BX7" s="855">
        <f>IF(ISBLANK(Tb_Fuel38[[#This Row],[Override17]]),Tb_Fuel38[[#This Row],[Global - HFO]],Tb_Fuel38[[#This Row],[Override17]])</f>
        <v>1.0113910956318826E-2</v>
      </c>
    </row>
    <row r="8" spans="1:76">
      <c r="A8" s="107">
        <v>2025</v>
      </c>
      <c r="B8" s="113">
        <v>0.1055</v>
      </c>
      <c r="C8" s="857"/>
      <c r="D8" s="113">
        <v>0.14799999999999999</v>
      </c>
      <c r="E8" s="857"/>
      <c r="F8" s="113">
        <v>0.11</v>
      </c>
      <c r="G8" s="857"/>
      <c r="H8" s="113"/>
      <c r="I8" s="857"/>
      <c r="J8" s="113"/>
      <c r="K8" s="857"/>
      <c r="L8" s="113"/>
      <c r="M8" s="857"/>
      <c r="N8" s="113"/>
      <c r="O8" s="857"/>
      <c r="P8" s="113"/>
      <c r="Q8" s="857"/>
      <c r="R8" s="113"/>
      <c r="S8" s="857"/>
      <c r="T8" s="113">
        <v>4.4400000000000002E-2</v>
      </c>
      <c r="U8" s="857"/>
      <c r="V8" s="113">
        <v>4.4400000000000002E-2</v>
      </c>
      <c r="W8" s="857"/>
      <c r="X8" s="113">
        <v>4.4400000000000002E-2</v>
      </c>
      <c r="Y8" s="857"/>
      <c r="Z8" s="113">
        <f t="shared" si="0"/>
        <v>3.0000000000000001E-3</v>
      </c>
      <c r="AA8" s="857"/>
      <c r="AB8" s="113">
        <f t="shared" si="1"/>
        <v>8.0000000000000002E-3</v>
      </c>
      <c r="AC8" s="857"/>
      <c r="AD8" s="113">
        <f t="shared" si="2"/>
        <v>4.0000000000000001E-3</v>
      </c>
      <c r="AE8" s="857"/>
      <c r="AF8" s="113">
        <f>(AF$13-AF$5)*(Tb_Fuel38[[#This Row],[Year]]-$A$5)/($A$13-$A$5)+AF$5</f>
        <v>88.048533017671431</v>
      </c>
      <c r="AG8" s="857"/>
      <c r="AH8" s="113">
        <f>(AH$13-AH$5)*(Tb_Fuel38[[#This Row],[Year]]-$A$5)/($A$13-$A$5)+AH$5</f>
        <v>88.048533017671431</v>
      </c>
      <c r="AI8" s="857"/>
      <c r="AJ8" s="113">
        <f>(AJ$13-AJ$5)*(Tb_Fuel38[[#This Row],[Year]]-$A$5)/($A$13-$A$5)+AJ$5</f>
        <v>88.048533017671431</v>
      </c>
      <c r="AK8" s="857"/>
      <c r="AL8" s="113">
        <v>0</v>
      </c>
      <c r="AM8" s="857"/>
      <c r="AN8" s="113">
        <f>(AN$13-AN$5)*(Tb_Fuel38[[#This Row],[Year]]-$A$5)/($A$13-$A$5)+AN$5</f>
        <v>88.048533017671431</v>
      </c>
      <c r="AO8" s="857"/>
      <c r="AP8" s="113">
        <v>0</v>
      </c>
      <c r="AQ8" s="857"/>
      <c r="AR8" s="113">
        <v>1.3</v>
      </c>
      <c r="AS8" s="857"/>
      <c r="AT8" s="113">
        <f>500/1000/'General values'!$M$24/'General values'!$B$30</f>
        <v>1.0113910956318826E-2</v>
      </c>
      <c r="AU8" s="857"/>
      <c r="BA8" s="854">
        <v>2025</v>
      </c>
      <c r="BB8" s="855">
        <f>IF(ISBLANK(Tb_Fuel38[[#This Row],[Override]]),Tb_Fuel38[[#This Row],[Germany - Grid]],Tb_Fuel38[[#This Row],[Override]])</f>
        <v>0.1055</v>
      </c>
      <c r="BC8" s="855">
        <f>IF(ISBLANK(Tb_Fuel38[[#This Row],[Override2]]),Tb_Fuel38[[#This Row],[France - Grid]],Tb_Fuel38[[#This Row],[Override2]])</f>
        <v>0.14799999999999999</v>
      </c>
      <c r="BD8" s="855">
        <f>IF(ISBLANK(Tb_Fuel38[[#This Row],[Override3]]),Tb_Fuel38[[#This Row],[Spain - Grid]],Tb_Fuel38[[#This Row],[Override3]])</f>
        <v>0.11</v>
      </c>
      <c r="BE8" s="855">
        <f>IF(ISBLANK(Tb_Fuel38[[#This Row],[Override18]]),Tb_Fuel38[[#This Row],[Germany - Feed-in electricity price]],Tb_Fuel38[[#This Row],[Override18]])</f>
        <v>0</v>
      </c>
      <c r="BF8" s="855">
        <f>IF(ISBLANK(Tb_Fuel38[[#This Row],[Override220]]),Tb_Fuel38[[#This Row],[France - Feed-in electricity price]],Tb_Fuel38[[#This Row],[Override220]])</f>
        <v>0</v>
      </c>
      <c r="BG8" s="855">
        <f>IF(ISBLANK(Tb_Fuel38[[#This Row],[Override322]]),Tb_Fuel38[[#This Row],[Spain - Feed-in electricity price]],Tb_Fuel38[[#This Row],[Override322]])</f>
        <v>0</v>
      </c>
      <c r="BH8" s="855">
        <f>IF(ISBLANK(Tb_Fuel38[[#This Row],[Override183]]),Tb_Fuel38[[#This Row],[Norway - Feed-in electricity price]],Tb_Fuel38[[#This Row],[Override183]])</f>
        <v>0</v>
      </c>
      <c r="BI8" s="855">
        <f>IF(ISBLANK(Tb_Fuel38[[#This Row],[Override2205]]),Tb_Fuel38[[#This Row],[Qatar - Feed-in electricity price]],Tb_Fuel38[[#This Row],[Override2205]])</f>
        <v>0</v>
      </c>
      <c r="BJ8" s="855">
        <f>IF(ISBLANK(Tb_Fuel38[[#This Row],[Override3227]]),Tb_Fuel38[[#This Row],[Algeria - Feed-in electricity price]],Tb_Fuel38[[#This Row],[Override3227]])</f>
        <v>0</v>
      </c>
      <c r="BK8" s="855">
        <f>IF(ISBLANK(Tb_Fuel38[[#This Row],[Override4]]),Tb_Fuel38[[#This Row],[Germany - Gas]],Tb_Fuel38[[#This Row],[Override4]])</f>
        <v>4.4400000000000002E-2</v>
      </c>
      <c r="BL8" s="855">
        <f>IF(ISBLANK(Tb_Fuel38[[#This Row],[Override5]]),Tb_Fuel38[[#This Row],[France - Gas]],Tb_Fuel38[[#This Row],[Override5]])</f>
        <v>4.4400000000000002E-2</v>
      </c>
      <c r="BM8" s="855">
        <f>IF(ISBLANK(Tb_Fuel38[[#This Row],[Override6]]),Tb_Fuel38[[#This Row],[Spain - Gas]],Tb_Fuel38[[#This Row],[Override6]])</f>
        <v>4.4400000000000002E-2</v>
      </c>
      <c r="BN8" s="855">
        <f>IF(ISBLANK(Tb_Fuel38[[#This Row],[Override7]]),Tb_Fuel38[[#This Row],[Algeria - Gas]],Tb_Fuel38[[#This Row],[Override7]])</f>
        <v>3.0000000000000001E-3</v>
      </c>
      <c r="BO8" s="855">
        <f>IF(ISBLANK(Tb_Fuel38[[#This Row],[Override8]]),Tb_Fuel38[[#This Row],[Norway - Gas]],Tb_Fuel38[[#This Row],[Override8]])</f>
        <v>8.0000000000000002E-3</v>
      </c>
      <c r="BP8" s="855">
        <f>IF(ISBLANK(Tb_Fuel38[[#This Row],[Override9]]),Tb_Fuel38[[#This Row],[Qatar - Gas]],Tb_Fuel38[[#This Row],[Override9]])</f>
        <v>4.0000000000000001E-3</v>
      </c>
      <c r="BQ8" s="855">
        <f>IF(ISBLANK(Tb_Fuel38[[#This Row],[Override10]]),Tb_Fuel38[[#This Row],[Germany - CO2 Price]],Tb_Fuel38[[#This Row],[Override10]])</f>
        <v>88.048533017671431</v>
      </c>
      <c r="BR8" s="855">
        <f>IF(ISBLANK(Tb_Fuel38[[#This Row],[Override11]]),Tb_Fuel38[[#This Row],[France - CO2 Price]],Tb_Fuel38[[#This Row],[Override11]])</f>
        <v>88.048533017671431</v>
      </c>
      <c r="BS8" s="855">
        <f>IF(ISBLANK(Tb_Fuel38[[#This Row],[Override12]]),Tb_Fuel38[[#This Row],[Spain - CO2 Price]],Tb_Fuel38[[#This Row],[Override12]])</f>
        <v>88.048533017671431</v>
      </c>
      <c r="BT8" s="855">
        <f>IF(ISBLANK(Tb_Fuel38[[#This Row],[Override13]]),Tb_Fuel38[[#This Row],[Algeria - CO2 Price]],Tb_Fuel38[[#This Row],[Override13]])</f>
        <v>0</v>
      </c>
      <c r="BU8" s="855">
        <f>IF(ISBLANK(Tb_Fuel38[[#This Row],[Override14]]),Tb_Fuel38[[#This Row],[Norway - CO2 Price]],Tb_Fuel38[[#This Row],[Override14]])</f>
        <v>88.048533017671431</v>
      </c>
      <c r="BV8" s="855">
        <f>IF(ISBLANK(Tb_Fuel38[[#This Row],[Override15]]),Tb_Fuel38[[#This Row],[Qatar - CO2 Price]],Tb_Fuel38[[#This Row],[Override15]])</f>
        <v>0</v>
      </c>
      <c r="BW8" s="855">
        <f>IF(ISBLANK(Tb_Fuel38[[#This Row],[Override16]]),Tb_Fuel38[[#This Row],[Global - Diesel]],Tb_Fuel38[[#This Row],[Override16]])</f>
        <v>1.3</v>
      </c>
      <c r="BX8" s="855">
        <f>IF(ISBLANK(Tb_Fuel38[[#This Row],[Override17]]),Tb_Fuel38[[#This Row],[Global - HFO]],Tb_Fuel38[[#This Row],[Override17]])</f>
        <v>1.0113910956318826E-2</v>
      </c>
    </row>
    <row r="9" spans="1:76">
      <c r="A9" s="107">
        <v>2026</v>
      </c>
      <c r="B9" s="113">
        <v>9.7000000000000003E-2</v>
      </c>
      <c r="C9" s="857"/>
      <c r="D9" s="113">
        <v>0.108</v>
      </c>
      <c r="E9" s="857"/>
      <c r="F9" s="113">
        <v>0.11</v>
      </c>
      <c r="G9" s="857"/>
      <c r="H9" s="113"/>
      <c r="I9" s="857"/>
      <c r="J9" s="113"/>
      <c r="K9" s="857"/>
      <c r="L9" s="113"/>
      <c r="M9" s="857"/>
      <c r="N9" s="113"/>
      <c r="O9" s="857"/>
      <c r="P9" s="113"/>
      <c r="Q9" s="857"/>
      <c r="R9" s="113"/>
      <c r="S9" s="857"/>
      <c r="T9" s="113">
        <v>3.2925000000000003E-2</v>
      </c>
      <c r="U9" s="857"/>
      <c r="V9" s="113">
        <v>3.2925000000000003E-2</v>
      </c>
      <c r="W9" s="857"/>
      <c r="X9" s="113">
        <v>3.2925000000000003E-2</v>
      </c>
      <c r="Y9" s="857"/>
      <c r="Z9" s="113">
        <f t="shared" si="0"/>
        <v>3.0000000000000001E-3</v>
      </c>
      <c r="AA9" s="857"/>
      <c r="AB9" s="113">
        <f t="shared" si="1"/>
        <v>8.0000000000000002E-3</v>
      </c>
      <c r="AC9" s="857"/>
      <c r="AD9" s="113">
        <f t="shared" si="2"/>
        <v>4.0000000000000001E-3</v>
      </c>
      <c r="AE9" s="857"/>
      <c r="AF9" s="113">
        <f>(AF$13-AF$5)*(Tb_Fuel38[[#This Row],[Year]]-$A$5)/($A$13-$A$5)+AF$5</f>
        <v>90.731377356895237</v>
      </c>
      <c r="AG9" s="857"/>
      <c r="AH9" s="113">
        <f>(AH$13-AH$5)*(Tb_Fuel38[[#This Row],[Year]]-$A$5)/($A$13-$A$5)+AH$5</f>
        <v>90.731377356895237</v>
      </c>
      <c r="AI9" s="857"/>
      <c r="AJ9" s="113">
        <f>(AJ$13-AJ$5)*(Tb_Fuel38[[#This Row],[Year]]-$A$5)/($A$13-$A$5)+AJ$5</f>
        <v>90.731377356895237</v>
      </c>
      <c r="AK9" s="857"/>
      <c r="AL9" s="113">
        <v>0</v>
      </c>
      <c r="AM9" s="857"/>
      <c r="AN9" s="113">
        <f>(AN$13-AN$5)*(Tb_Fuel38[[#This Row],[Year]]-$A$5)/($A$13-$A$5)+AN$5</f>
        <v>90.731377356895237</v>
      </c>
      <c r="AO9" s="857"/>
      <c r="AP9" s="113">
        <v>0</v>
      </c>
      <c r="AQ9" s="857"/>
      <c r="AR9" s="113">
        <v>1.3</v>
      </c>
      <c r="AS9" s="857"/>
      <c r="AT9" s="113">
        <f>500/1000/'General values'!$M$24/'General values'!$B$30</f>
        <v>1.0113910956318826E-2</v>
      </c>
      <c r="AU9" s="857"/>
      <c r="BA9" s="854">
        <v>2026</v>
      </c>
      <c r="BB9" s="855">
        <f>IF(ISBLANK(Tb_Fuel38[[#This Row],[Override]]),Tb_Fuel38[[#This Row],[Germany - Grid]],Tb_Fuel38[[#This Row],[Override]])</f>
        <v>9.7000000000000003E-2</v>
      </c>
      <c r="BC9" s="855">
        <f>IF(ISBLANK(Tb_Fuel38[[#This Row],[Override2]]),Tb_Fuel38[[#This Row],[France - Grid]],Tb_Fuel38[[#This Row],[Override2]])</f>
        <v>0.108</v>
      </c>
      <c r="BD9" s="855">
        <f>IF(ISBLANK(Tb_Fuel38[[#This Row],[Override3]]),Tb_Fuel38[[#This Row],[Spain - Grid]],Tb_Fuel38[[#This Row],[Override3]])</f>
        <v>0.11</v>
      </c>
      <c r="BE9" s="855">
        <f>IF(ISBLANK(Tb_Fuel38[[#This Row],[Override18]]),Tb_Fuel38[[#This Row],[Germany - Feed-in electricity price]],Tb_Fuel38[[#This Row],[Override18]])</f>
        <v>0</v>
      </c>
      <c r="BF9" s="855">
        <f>IF(ISBLANK(Tb_Fuel38[[#This Row],[Override220]]),Tb_Fuel38[[#This Row],[France - Feed-in electricity price]],Tb_Fuel38[[#This Row],[Override220]])</f>
        <v>0</v>
      </c>
      <c r="BG9" s="855">
        <f>IF(ISBLANK(Tb_Fuel38[[#This Row],[Override322]]),Tb_Fuel38[[#This Row],[Spain - Feed-in electricity price]],Tb_Fuel38[[#This Row],[Override322]])</f>
        <v>0</v>
      </c>
      <c r="BH9" s="855">
        <f>IF(ISBLANK(Tb_Fuel38[[#This Row],[Override183]]),Tb_Fuel38[[#This Row],[Norway - Feed-in electricity price]],Tb_Fuel38[[#This Row],[Override183]])</f>
        <v>0</v>
      </c>
      <c r="BI9" s="855">
        <f>IF(ISBLANK(Tb_Fuel38[[#This Row],[Override2205]]),Tb_Fuel38[[#This Row],[Qatar - Feed-in electricity price]],Tb_Fuel38[[#This Row],[Override2205]])</f>
        <v>0</v>
      </c>
      <c r="BJ9" s="855">
        <f>IF(ISBLANK(Tb_Fuel38[[#This Row],[Override3227]]),Tb_Fuel38[[#This Row],[Algeria - Feed-in electricity price]],Tb_Fuel38[[#This Row],[Override3227]])</f>
        <v>0</v>
      </c>
      <c r="BK9" s="855">
        <f>IF(ISBLANK(Tb_Fuel38[[#This Row],[Override4]]),Tb_Fuel38[[#This Row],[Germany - Gas]],Tb_Fuel38[[#This Row],[Override4]])</f>
        <v>3.2925000000000003E-2</v>
      </c>
      <c r="BL9" s="855">
        <f>IF(ISBLANK(Tb_Fuel38[[#This Row],[Override5]]),Tb_Fuel38[[#This Row],[France - Gas]],Tb_Fuel38[[#This Row],[Override5]])</f>
        <v>3.2925000000000003E-2</v>
      </c>
      <c r="BM9" s="855">
        <f>IF(ISBLANK(Tb_Fuel38[[#This Row],[Override6]]),Tb_Fuel38[[#This Row],[Spain - Gas]],Tb_Fuel38[[#This Row],[Override6]])</f>
        <v>3.2925000000000003E-2</v>
      </c>
      <c r="BN9" s="855">
        <f>IF(ISBLANK(Tb_Fuel38[[#This Row],[Override7]]),Tb_Fuel38[[#This Row],[Algeria - Gas]],Tb_Fuel38[[#This Row],[Override7]])</f>
        <v>3.0000000000000001E-3</v>
      </c>
      <c r="BO9" s="855">
        <f>IF(ISBLANK(Tb_Fuel38[[#This Row],[Override8]]),Tb_Fuel38[[#This Row],[Norway - Gas]],Tb_Fuel38[[#This Row],[Override8]])</f>
        <v>8.0000000000000002E-3</v>
      </c>
      <c r="BP9" s="855">
        <f>IF(ISBLANK(Tb_Fuel38[[#This Row],[Override9]]),Tb_Fuel38[[#This Row],[Qatar - Gas]],Tb_Fuel38[[#This Row],[Override9]])</f>
        <v>4.0000000000000001E-3</v>
      </c>
      <c r="BQ9" s="855">
        <f>IF(ISBLANK(Tb_Fuel38[[#This Row],[Override10]]),Tb_Fuel38[[#This Row],[Germany - CO2 Price]],Tb_Fuel38[[#This Row],[Override10]])</f>
        <v>90.731377356895237</v>
      </c>
      <c r="BR9" s="855">
        <f>IF(ISBLANK(Tb_Fuel38[[#This Row],[Override11]]),Tb_Fuel38[[#This Row],[France - CO2 Price]],Tb_Fuel38[[#This Row],[Override11]])</f>
        <v>90.731377356895237</v>
      </c>
      <c r="BS9" s="855">
        <f>IF(ISBLANK(Tb_Fuel38[[#This Row],[Override12]]),Tb_Fuel38[[#This Row],[Spain - CO2 Price]],Tb_Fuel38[[#This Row],[Override12]])</f>
        <v>90.731377356895237</v>
      </c>
      <c r="BT9" s="855">
        <f>IF(ISBLANK(Tb_Fuel38[[#This Row],[Override13]]),Tb_Fuel38[[#This Row],[Algeria - CO2 Price]],Tb_Fuel38[[#This Row],[Override13]])</f>
        <v>0</v>
      </c>
      <c r="BU9" s="855">
        <f>IF(ISBLANK(Tb_Fuel38[[#This Row],[Override14]]),Tb_Fuel38[[#This Row],[Norway - CO2 Price]],Tb_Fuel38[[#This Row],[Override14]])</f>
        <v>90.731377356895237</v>
      </c>
      <c r="BV9" s="855">
        <f>IF(ISBLANK(Tb_Fuel38[[#This Row],[Override15]]),Tb_Fuel38[[#This Row],[Qatar - CO2 Price]],Tb_Fuel38[[#This Row],[Override15]])</f>
        <v>0</v>
      </c>
      <c r="BW9" s="855">
        <f>IF(ISBLANK(Tb_Fuel38[[#This Row],[Override16]]),Tb_Fuel38[[#This Row],[Global - Diesel]],Tb_Fuel38[[#This Row],[Override16]])</f>
        <v>1.3</v>
      </c>
      <c r="BX9" s="855">
        <f>IF(ISBLANK(Tb_Fuel38[[#This Row],[Override17]]),Tb_Fuel38[[#This Row],[Global - HFO]],Tb_Fuel38[[#This Row],[Override17]])</f>
        <v>1.0113910956318826E-2</v>
      </c>
    </row>
    <row r="10" spans="1:76">
      <c r="A10" s="107">
        <v>2027</v>
      </c>
      <c r="B10" s="113">
        <v>9.7000000000000003E-2</v>
      </c>
      <c r="C10" s="857"/>
      <c r="D10" s="113">
        <v>9.9000000000000005E-2</v>
      </c>
      <c r="E10" s="857"/>
      <c r="F10" s="113">
        <v>0.11</v>
      </c>
      <c r="G10" s="857"/>
      <c r="H10" s="113"/>
      <c r="I10" s="857"/>
      <c r="J10" s="113"/>
      <c r="K10" s="857"/>
      <c r="L10" s="113"/>
      <c r="M10" s="857"/>
      <c r="N10" s="113"/>
      <c r="O10" s="857"/>
      <c r="P10" s="113"/>
      <c r="Q10" s="857"/>
      <c r="R10" s="113"/>
      <c r="S10" s="857"/>
      <c r="T10" s="113">
        <v>2.9525000000000003E-2</v>
      </c>
      <c r="U10" s="857"/>
      <c r="V10" s="113">
        <v>2.9525000000000003E-2</v>
      </c>
      <c r="W10" s="857"/>
      <c r="X10" s="113">
        <v>2.9525000000000003E-2</v>
      </c>
      <c r="Y10" s="857"/>
      <c r="Z10" s="113">
        <f t="shared" si="0"/>
        <v>3.0000000000000001E-3</v>
      </c>
      <c r="AA10" s="857"/>
      <c r="AB10" s="113">
        <f t="shared" si="1"/>
        <v>8.0000000000000002E-3</v>
      </c>
      <c r="AC10" s="857"/>
      <c r="AD10" s="113">
        <f t="shared" si="2"/>
        <v>4.0000000000000001E-3</v>
      </c>
      <c r="AE10" s="857"/>
      <c r="AF10" s="113">
        <f>(AF$13-AF$5)*(Tb_Fuel38[[#This Row],[Year]]-$A$5)/($A$13-$A$5)+AF$5</f>
        <v>93.414221696119043</v>
      </c>
      <c r="AG10" s="857"/>
      <c r="AH10" s="113">
        <f>(AH$13-AH$5)*(Tb_Fuel38[[#This Row],[Year]]-$A$5)/($A$13-$A$5)+AH$5</f>
        <v>93.414221696119043</v>
      </c>
      <c r="AI10" s="857"/>
      <c r="AJ10" s="113">
        <f>(AJ$13-AJ$5)*(Tb_Fuel38[[#This Row],[Year]]-$A$5)/($A$13-$A$5)+AJ$5</f>
        <v>93.414221696119043</v>
      </c>
      <c r="AK10" s="857"/>
      <c r="AL10" s="113">
        <v>0</v>
      </c>
      <c r="AM10" s="857"/>
      <c r="AN10" s="113">
        <f>(AN$13-AN$5)*(Tb_Fuel38[[#This Row],[Year]]-$A$5)/($A$13-$A$5)+AN$5</f>
        <v>93.414221696119043</v>
      </c>
      <c r="AO10" s="857"/>
      <c r="AP10" s="113">
        <v>0</v>
      </c>
      <c r="AQ10" s="857"/>
      <c r="AR10" s="113">
        <v>1.3</v>
      </c>
      <c r="AS10" s="857"/>
      <c r="AT10" s="113">
        <f>500/1000/'General values'!$M$24/'General values'!$B$30</f>
        <v>1.0113910956318826E-2</v>
      </c>
      <c r="AU10" s="857"/>
      <c r="BA10" s="854">
        <v>2027</v>
      </c>
      <c r="BB10" s="855">
        <f>IF(ISBLANK(Tb_Fuel38[[#This Row],[Override]]),Tb_Fuel38[[#This Row],[Germany - Grid]],Tb_Fuel38[[#This Row],[Override]])</f>
        <v>9.7000000000000003E-2</v>
      </c>
      <c r="BC10" s="855">
        <f>IF(ISBLANK(Tb_Fuel38[[#This Row],[Override2]]),Tb_Fuel38[[#This Row],[France - Grid]],Tb_Fuel38[[#This Row],[Override2]])</f>
        <v>9.9000000000000005E-2</v>
      </c>
      <c r="BD10" s="855">
        <f>IF(ISBLANK(Tb_Fuel38[[#This Row],[Override3]]),Tb_Fuel38[[#This Row],[Spain - Grid]],Tb_Fuel38[[#This Row],[Override3]])</f>
        <v>0.11</v>
      </c>
      <c r="BE10" s="855">
        <f>IF(ISBLANK(Tb_Fuel38[[#This Row],[Override18]]),Tb_Fuel38[[#This Row],[Germany - Feed-in electricity price]],Tb_Fuel38[[#This Row],[Override18]])</f>
        <v>0</v>
      </c>
      <c r="BF10" s="855">
        <f>IF(ISBLANK(Tb_Fuel38[[#This Row],[Override220]]),Tb_Fuel38[[#This Row],[France - Feed-in electricity price]],Tb_Fuel38[[#This Row],[Override220]])</f>
        <v>0</v>
      </c>
      <c r="BG10" s="855">
        <f>IF(ISBLANK(Tb_Fuel38[[#This Row],[Override322]]),Tb_Fuel38[[#This Row],[Spain - Feed-in electricity price]],Tb_Fuel38[[#This Row],[Override322]])</f>
        <v>0</v>
      </c>
      <c r="BH10" s="855">
        <f>IF(ISBLANK(Tb_Fuel38[[#This Row],[Override183]]),Tb_Fuel38[[#This Row],[Norway - Feed-in electricity price]],Tb_Fuel38[[#This Row],[Override183]])</f>
        <v>0</v>
      </c>
      <c r="BI10" s="855">
        <f>IF(ISBLANK(Tb_Fuel38[[#This Row],[Override2205]]),Tb_Fuel38[[#This Row],[Qatar - Feed-in electricity price]],Tb_Fuel38[[#This Row],[Override2205]])</f>
        <v>0</v>
      </c>
      <c r="BJ10" s="855">
        <f>IF(ISBLANK(Tb_Fuel38[[#This Row],[Override3227]]),Tb_Fuel38[[#This Row],[Algeria - Feed-in electricity price]],Tb_Fuel38[[#This Row],[Override3227]])</f>
        <v>0</v>
      </c>
      <c r="BK10" s="855">
        <f>IF(ISBLANK(Tb_Fuel38[[#This Row],[Override4]]),Tb_Fuel38[[#This Row],[Germany - Gas]],Tb_Fuel38[[#This Row],[Override4]])</f>
        <v>2.9525000000000003E-2</v>
      </c>
      <c r="BL10" s="855">
        <f>IF(ISBLANK(Tb_Fuel38[[#This Row],[Override5]]),Tb_Fuel38[[#This Row],[France - Gas]],Tb_Fuel38[[#This Row],[Override5]])</f>
        <v>2.9525000000000003E-2</v>
      </c>
      <c r="BM10" s="855">
        <f>IF(ISBLANK(Tb_Fuel38[[#This Row],[Override6]]),Tb_Fuel38[[#This Row],[Spain - Gas]],Tb_Fuel38[[#This Row],[Override6]])</f>
        <v>2.9525000000000003E-2</v>
      </c>
      <c r="BN10" s="855">
        <f>IF(ISBLANK(Tb_Fuel38[[#This Row],[Override7]]),Tb_Fuel38[[#This Row],[Algeria - Gas]],Tb_Fuel38[[#This Row],[Override7]])</f>
        <v>3.0000000000000001E-3</v>
      </c>
      <c r="BO10" s="855">
        <f>IF(ISBLANK(Tb_Fuel38[[#This Row],[Override8]]),Tb_Fuel38[[#This Row],[Norway - Gas]],Tb_Fuel38[[#This Row],[Override8]])</f>
        <v>8.0000000000000002E-3</v>
      </c>
      <c r="BP10" s="855">
        <f>IF(ISBLANK(Tb_Fuel38[[#This Row],[Override9]]),Tb_Fuel38[[#This Row],[Qatar - Gas]],Tb_Fuel38[[#This Row],[Override9]])</f>
        <v>4.0000000000000001E-3</v>
      </c>
      <c r="BQ10" s="855">
        <f>IF(ISBLANK(Tb_Fuel38[[#This Row],[Override10]]),Tb_Fuel38[[#This Row],[Germany - CO2 Price]],Tb_Fuel38[[#This Row],[Override10]])</f>
        <v>93.414221696119043</v>
      </c>
      <c r="BR10" s="855">
        <f>IF(ISBLANK(Tb_Fuel38[[#This Row],[Override11]]),Tb_Fuel38[[#This Row],[France - CO2 Price]],Tb_Fuel38[[#This Row],[Override11]])</f>
        <v>93.414221696119043</v>
      </c>
      <c r="BS10" s="855">
        <f>IF(ISBLANK(Tb_Fuel38[[#This Row],[Override12]]),Tb_Fuel38[[#This Row],[Spain - CO2 Price]],Tb_Fuel38[[#This Row],[Override12]])</f>
        <v>93.414221696119043</v>
      </c>
      <c r="BT10" s="855">
        <f>IF(ISBLANK(Tb_Fuel38[[#This Row],[Override13]]),Tb_Fuel38[[#This Row],[Algeria - CO2 Price]],Tb_Fuel38[[#This Row],[Override13]])</f>
        <v>0</v>
      </c>
      <c r="BU10" s="855">
        <f>IF(ISBLANK(Tb_Fuel38[[#This Row],[Override14]]),Tb_Fuel38[[#This Row],[Norway - CO2 Price]],Tb_Fuel38[[#This Row],[Override14]])</f>
        <v>93.414221696119043</v>
      </c>
      <c r="BV10" s="855">
        <f>IF(ISBLANK(Tb_Fuel38[[#This Row],[Override15]]),Tb_Fuel38[[#This Row],[Qatar - CO2 Price]],Tb_Fuel38[[#This Row],[Override15]])</f>
        <v>0</v>
      </c>
      <c r="BW10" s="855">
        <f>IF(ISBLANK(Tb_Fuel38[[#This Row],[Override16]]),Tb_Fuel38[[#This Row],[Global - Diesel]],Tb_Fuel38[[#This Row],[Override16]])</f>
        <v>1.3</v>
      </c>
      <c r="BX10" s="855">
        <f>IF(ISBLANK(Tb_Fuel38[[#This Row],[Override17]]),Tb_Fuel38[[#This Row],[Global - HFO]],Tb_Fuel38[[#This Row],[Override17]])</f>
        <v>1.0113910956318826E-2</v>
      </c>
    </row>
    <row r="11" spans="1:76">
      <c r="A11" s="107">
        <v>2028</v>
      </c>
      <c r="B11" s="113">
        <v>9.9000000000000005E-2</v>
      </c>
      <c r="C11" s="857"/>
      <c r="D11" s="113">
        <v>9.8000000000000004E-2</v>
      </c>
      <c r="E11" s="857"/>
      <c r="F11" s="113">
        <v>0.11</v>
      </c>
      <c r="G11" s="857"/>
      <c r="H11" s="113"/>
      <c r="I11" s="857"/>
      <c r="J11" s="113"/>
      <c r="K11" s="857"/>
      <c r="L11" s="113"/>
      <c r="M11" s="857"/>
      <c r="N11" s="113"/>
      <c r="O11" s="857"/>
      <c r="P11" s="113"/>
      <c r="Q11" s="857"/>
      <c r="R11" s="113"/>
      <c r="S11" s="857"/>
      <c r="T11" s="113">
        <v>2.8674999999999999E-2</v>
      </c>
      <c r="U11" s="857"/>
      <c r="V11" s="113">
        <v>2.8674999999999999E-2</v>
      </c>
      <c r="W11" s="857"/>
      <c r="X11" s="113">
        <v>2.8674999999999999E-2</v>
      </c>
      <c r="Y11" s="857"/>
      <c r="Z11" s="113">
        <f t="shared" si="0"/>
        <v>3.0000000000000001E-3</v>
      </c>
      <c r="AA11" s="857"/>
      <c r="AB11" s="113">
        <f t="shared" si="1"/>
        <v>8.0000000000000002E-3</v>
      </c>
      <c r="AC11" s="857"/>
      <c r="AD11" s="113">
        <f t="shared" si="2"/>
        <v>4.0000000000000001E-3</v>
      </c>
      <c r="AE11" s="857"/>
      <c r="AF11" s="113">
        <f>(AF$13-AF$5)*(Tb_Fuel38[[#This Row],[Year]]-$A$5)/($A$13-$A$5)+AF$5</f>
        <v>96.097066035342863</v>
      </c>
      <c r="AG11" s="857"/>
      <c r="AH11" s="113">
        <f>(AH$13-AH$5)*(Tb_Fuel38[[#This Row],[Year]]-$A$5)/($A$13-$A$5)+AH$5</f>
        <v>96.097066035342863</v>
      </c>
      <c r="AI11" s="857"/>
      <c r="AJ11" s="113">
        <f>(AJ$13-AJ$5)*(Tb_Fuel38[[#This Row],[Year]]-$A$5)/($A$13-$A$5)+AJ$5</f>
        <v>96.097066035342863</v>
      </c>
      <c r="AK11" s="857"/>
      <c r="AL11" s="113">
        <v>0</v>
      </c>
      <c r="AM11" s="857"/>
      <c r="AN11" s="113">
        <f>(AN$13-AN$5)*(Tb_Fuel38[[#This Row],[Year]]-$A$5)/($A$13-$A$5)+AN$5</f>
        <v>96.097066035342863</v>
      </c>
      <c r="AO11" s="857"/>
      <c r="AP11" s="113">
        <v>0</v>
      </c>
      <c r="AQ11" s="857"/>
      <c r="AR11" s="113">
        <v>1.3</v>
      </c>
      <c r="AS11" s="857"/>
      <c r="AT11" s="113">
        <f>500/1000/'General values'!$M$24/'General values'!$B$30</f>
        <v>1.0113910956318826E-2</v>
      </c>
      <c r="AU11" s="857"/>
      <c r="BA11" s="854">
        <v>2028</v>
      </c>
      <c r="BB11" s="855">
        <f>IF(ISBLANK(Tb_Fuel38[[#This Row],[Override]]),Tb_Fuel38[[#This Row],[Germany - Grid]],Tb_Fuel38[[#This Row],[Override]])</f>
        <v>9.9000000000000005E-2</v>
      </c>
      <c r="BC11" s="855">
        <f>IF(ISBLANK(Tb_Fuel38[[#This Row],[Override2]]),Tb_Fuel38[[#This Row],[France - Grid]],Tb_Fuel38[[#This Row],[Override2]])</f>
        <v>9.8000000000000004E-2</v>
      </c>
      <c r="BD11" s="855">
        <f>IF(ISBLANK(Tb_Fuel38[[#This Row],[Override3]]),Tb_Fuel38[[#This Row],[Spain - Grid]],Tb_Fuel38[[#This Row],[Override3]])</f>
        <v>0.11</v>
      </c>
      <c r="BE11" s="855">
        <f>IF(ISBLANK(Tb_Fuel38[[#This Row],[Override18]]),Tb_Fuel38[[#This Row],[Germany - Feed-in electricity price]],Tb_Fuel38[[#This Row],[Override18]])</f>
        <v>0</v>
      </c>
      <c r="BF11" s="855">
        <f>IF(ISBLANK(Tb_Fuel38[[#This Row],[Override220]]),Tb_Fuel38[[#This Row],[France - Feed-in electricity price]],Tb_Fuel38[[#This Row],[Override220]])</f>
        <v>0</v>
      </c>
      <c r="BG11" s="855">
        <f>IF(ISBLANK(Tb_Fuel38[[#This Row],[Override322]]),Tb_Fuel38[[#This Row],[Spain - Feed-in electricity price]],Tb_Fuel38[[#This Row],[Override322]])</f>
        <v>0</v>
      </c>
      <c r="BH11" s="855">
        <f>IF(ISBLANK(Tb_Fuel38[[#This Row],[Override183]]),Tb_Fuel38[[#This Row],[Norway - Feed-in electricity price]],Tb_Fuel38[[#This Row],[Override183]])</f>
        <v>0</v>
      </c>
      <c r="BI11" s="855">
        <f>IF(ISBLANK(Tb_Fuel38[[#This Row],[Override2205]]),Tb_Fuel38[[#This Row],[Qatar - Feed-in electricity price]],Tb_Fuel38[[#This Row],[Override2205]])</f>
        <v>0</v>
      </c>
      <c r="BJ11" s="855">
        <f>IF(ISBLANK(Tb_Fuel38[[#This Row],[Override3227]]),Tb_Fuel38[[#This Row],[Algeria - Feed-in electricity price]],Tb_Fuel38[[#This Row],[Override3227]])</f>
        <v>0</v>
      </c>
      <c r="BK11" s="855">
        <f>IF(ISBLANK(Tb_Fuel38[[#This Row],[Override4]]),Tb_Fuel38[[#This Row],[Germany - Gas]],Tb_Fuel38[[#This Row],[Override4]])</f>
        <v>2.8674999999999999E-2</v>
      </c>
      <c r="BL11" s="855">
        <f>IF(ISBLANK(Tb_Fuel38[[#This Row],[Override5]]),Tb_Fuel38[[#This Row],[France - Gas]],Tb_Fuel38[[#This Row],[Override5]])</f>
        <v>2.8674999999999999E-2</v>
      </c>
      <c r="BM11" s="855">
        <f>IF(ISBLANK(Tb_Fuel38[[#This Row],[Override6]]),Tb_Fuel38[[#This Row],[Spain - Gas]],Tb_Fuel38[[#This Row],[Override6]])</f>
        <v>2.8674999999999999E-2</v>
      </c>
      <c r="BN11" s="855">
        <f>IF(ISBLANK(Tb_Fuel38[[#This Row],[Override7]]),Tb_Fuel38[[#This Row],[Algeria - Gas]],Tb_Fuel38[[#This Row],[Override7]])</f>
        <v>3.0000000000000001E-3</v>
      </c>
      <c r="BO11" s="855">
        <f>IF(ISBLANK(Tb_Fuel38[[#This Row],[Override8]]),Tb_Fuel38[[#This Row],[Norway - Gas]],Tb_Fuel38[[#This Row],[Override8]])</f>
        <v>8.0000000000000002E-3</v>
      </c>
      <c r="BP11" s="855">
        <f>IF(ISBLANK(Tb_Fuel38[[#This Row],[Override9]]),Tb_Fuel38[[#This Row],[Qatar - Gas]],Tb_Fuel38[[#This Row],[Override9]])</f>
        <v>4.0000000000000001E-3</v>
      </c>
      <c r="BQ11" s="855">
        <f>IF(ISBLANK(Tb_Fuel38[[#This Row],[Override10]]),Tb_Fuel38[[#This Row],[Germany - CO2 Price]],Tb_Fuel38[[#This Row],[Override10]])</f>
        <v>96.097066035342863</v>
      </c>
      <c r="BR11" s="855">
        <f>IF(ISBLANK(Tb_Fuel38[[#This Row],[Override11]]),Tb_Fuel38[[#This Row],[France - CO2 Price]],Tb_Fuel38[[#This Row],[Override11]])</f>
        <v>96.097066035342863</v>
      </c>
      <c r="BS11" s="855">
        <f>IF(ISBLANK(Tb_Fuel38[[#This Row],[Override12]]),Tb_Fuel38[[#This Row],[Spain - CO2 Price]],Tb_Fuel38[[#This Row],[Override12]])</f>
        <v>96.097066035342863</v>
      </c>
      <c r="BT11" s="855">
        <f>IF(ISBLANK(Tb_Fuel38[[#This Row],[Override13]]),Tb_Fuel38[[#This Row],[Algeria - CO2 Price]],Tb_Fuel38[[#This Row],[Override13]])</f>
        <v>0</v>
      </c>
      <c r="BU11" s="855">
        <f>IF(ISBLANK(Tb_Fuel38[[#This Row],[Override14]]),Tb_Fuel38[[#This Row],[Norway - CO2 Price]],Tb_Fuel38[[#This Row],[Override14]])</f>
        <v>96.097066035342863</v>
      </c>
      <c r="BV11" s="855">
        <f>IF(ISBLANK(Tb_Fuel38[[#This Row],[Override15]]),Tb_Fuel38[[#This Row],[Qatar - CO2 Price]],Tb_Fuel38[[#This Row],[Override15]])</f>
        <v>0</v>
      </c>
      <c r="BW11" s="855">
        <f>IF(ISBLANK(Tb_Fuel38[[#This Row],[Override16]]),Tb_Fuel38[[#This Row],[Global - Diesel]],Tb_Fuel38[[#This Row],[Override16]])</f>
        <v>1.3</v>
      </c>
      <c r="BX11" s="855">
        <f>IF(ISBLANK(Tb_Fuel38[[#This Row],[Override17]]),Tb_Fuel38[[#This Row],[Global - HFO]],Tb_Fuel38[[#This Row],[Override17]])</f>
        <v>1.0113910956318826E-2</v>
      </c>
    </row>
    <row r="12" spans="1:76">
      <c r="A12" s="107">
        <v>2029</v>
      </c>
      <c r="B12" s="113">
        <v>0.10299999999999999</v>
      </c>
      <c r="C12" s="857"/>
      <c r="D12" s="113">
        <v>9.6000000000000002E-2</v>
      </c>
      <c r="E12" s="857"/>
      <c r="F12" s="113">
        <v>0.11</v>
      </c>
      <c r="G12" s="857"/>
      <c r="H12" s="113"/>
      <c r="I12" s="857"/>
      <c r="J12" s="113"/>
      <c r="K12" s="857"/>
      <c r="L12" s="113"/>
      <c r="M12" s="857"/>
      <c r="N12" s="113"/>
      <c r="O12" s="857"/>
      <c r="P12" s="113"/>
      <c r="Q12" s="857"/>
      <c r="R12" s="113"/>
      <c r="S12" s="857"/>
      <c r="T12" s="113">
        <v>2.845E-2</v>
      </c>
      <c r="U12" s="857"/>
      <c r="V12" s="113">
        <v>2.845E-2</v>
      </c>
      <c r="W12" s="857"/>
      <c r="X12" s="113">
        <v>2.845E-2</v>
      </c>
      <c r="Y12" s="857"/>
      <c r="Z12" s="113">
        <f t="shared" si="0"/>
        <v>3.0000000000000001E-3</v>
      </c>
      <c r="AA12" s="857"/>
      <c r="AB12" s="113">
        <f t="shared" si="1"/>
        <v>8.0000000000000002E-3</v>
      </c>
      <c r="AC12" s="857"/>
      <c r="AD12" s="113">
        <f t="shared" si="2"/>
        <v>4.0000000000000001E-3</v>
      </c>
      <c r="AE12" s="857"/>
      <c r="AF12" s="113">
        <f>(AF$13-AF$5)*(Tb_Fuel38[[#This Row],[Year]]-$A$5)/($A$13-$A$5)+AF$5</f>
        <v>98.779910374566668</v>
      </c>
      <c r="AG12" s="857"/>
      <c r="AH12" s="113">
        <f>(AH$13-AH$5)*(Tb_Fuel38[[#This Row],[Year]]-$A$5)/($A$13-$A$5)+AH$5</f>
        <v>98.779910374566668</v>
      </c>
      <c r="AI12" s="857"/>
      <c r="AJ12" s="113">
        <f>(AJ$13-AJ$5)*(Tb_Fuel38[[#This Row],[Year]]-$A$5)/($A$13-$A$5)+AJ$5</f>
        <v>98.779910374566668</v>
      </c>
      <c r="AK12" s="857"/>
      <c r="AL12" s="113">
        <v>0</v>
      </c>
      <c r="AM12" s="857"/>
      <c r="AN12" s="113">
        <f>(AN$13-AN$5)*(Tb_Fuel38[[#This Row],[Year]]-$A$5)/($A$13-$A$5)+AN$5</f>
        <v>98.779910374566668</v>
      </c>
      <c r="AO12" s="857"/>
      <c r="AP12" s="113">
        <v>0</v>
      </c>
      <c r="AQ12" s="857"/>
      <c r="AR12" s="113">
        <v>1.3</v>
      </c>
      <c r="AS12" s="857"/>
      <c r="AT12" s="113">
        <f>500/1000/'General values'!$M$24/'General values'!$B$30</f>
        <v>1.0113910956318826E-2</v>
      </c>
      <c r="AU12" s="857"/>
      <c r="BA12" s="854">
        <v>2029</v>
      </c>
      <c r="BB12" s="855">
        <f>IF(ISBLANK(Tb_Fuel38[[#This Row],[Override]]),Tb_Fuel38[[#This Row],[Germany - Grid]],Tb_Fuel38[[#This Row],[Override]])</f>
        <v>0.10299999999999999</v>
      </c>
      <c r="BC12" s="855">
        <f>IF(ISBLANK(Tb_Fuel38[[#This Row],[Override2]]),Tb_Fuel38[[#This Row],[France - Grid]],Tb_Fuel38[[#This Row],[Override2]])</f>
        <v>9.6000000000000002E-2</v>
      </c>
      <c r="BD12" s="855">
        <f>IF(ISBLANK(Tb_Fuel38[[#This Row],[Override3]]),Tb_Fuel38[[#This Row],[Spain - Grid]],Tb_Fuel38[[#This Row],[Override3]])</f>
        <v>0.11</v>
      </c>
      <c r="BE12" s="855">
        <f>IF(ISBLANK(Tb_Fuel38[[#This Row],[Override18]]),Tb_Fuel38[[#This Row],[Germany - Feed-in electricity price]],Tb_Fuel38[[#This Row],[Override18]])</f>
        <v>0</v>
      </c>
      <c r="BF12" s="855">
        <f>IF(ISBLANK(Tb_Fuel38[[#This Row],[Override220]]),Tb_Fuel38[[#This Row],[France - Feed-in electricity price]],Tb_Fuel38[[#This Row],[Override220]])</f>
        <v>0</v>
      </c>
      <c r="BG12" s="855">
        <f>IF(ISBLANK(Tb_Fuel38[[#This Row],[Override322]]),Tb_Fuel38[[#This Row],[Spain - Feed-in electricity price]],Tb_Fuel38[[#This Row],[Override322]])</f>
        <v>0</v>
      </c>
      <c r="BH12" s="855">
        <f>IF(ISBLANK(Tb_Fuel38[[#This Row],[Override183]]),Tb_Fuel38[[#This Row],[Norway - Feed-in electricity price]],Tb_Fuel38[[#This Row],[Override183]])</f>
        <v>0</v>
      </c>
      <c r="BI12" s="855">
        <f>IF(ISBLANK(Tb_Fuel38[[#This Row],[Override2205]]),Tb_Fuel38[[#This Row],[Qatar - Feed-in electricity price]],Tb_Fuel38[[#This Row],[Override2205]])</f>
        <v>0</v>
      </c>
      <c r="BJ12" s="855">
        <f>IF(ISBLANK(Tb_Fuel38[[#This Row],[Override3227]]),Tb_Fuel38[[#This Row],[Algeria - Feed-in electricity price]],Tb_Fuel38[[#This Row],[Override3227]])</f>
        <v>0</v>
      </c>
      <c r="BK12" s="855">
        <f>IF(ISBLANK(Tb_Fuel38[[#This Row],[Override4]]),Tb_Fuel38[[#This Row],[Germany - Gas]],Tb_Fuel38[[#This Row],[Override4]])</f>
        <v>2.845E-2</v>
      </c>
      <c r="BL12" s="855">
        <f>IF(ISBLANK(Tb_Fuel38[[#This Row],[Override5]]),Tb_Fuel38[[#This Row],[France - Gas]],Tb_Fuel38[[#This Row],[Override5]])</f>
        <v>2.845E-2</v>
      </c>
      <c r="BM12" s="855">
        <f>IF(ISBLANK(Tb_Fuel38[[#This Row],[Override6]]),Tb_Fuel38[[#This Row],[Spain - Gas]],Tb_Fuel38[[#This Row],[Override6]])</f>
        <v>2.845E-2</v>
      </c>
      <c r="BN12" s="855">
        <f>IF(ISBLANK(Tb_Fuel38[[#This Row],[Override7]]),Tb_Fuel38[[#This Row],[Algeria - Gas]],Tb_Fuel38[[#This Row],[Override7]])</f>
        <v>3.0000000000000001E-3</v>
      </c>
      <c r="BO12" s="855">
        <f>IF(ISBLANK(Tb_Fuel38[[#This Row],[Override8]]),Tb_Fuel38[[#This Row],[Norway - Gas]],Tb_Fuel38[[#This Row],[Override8]])</f>
        <v>8.0000000000000002E-3</v>
      </c>
      <c r="BP12" s="855">
        <f>IF(ISBLANK(Tb_Fuel38[[#This Row],[Override9]]),Tb_Fuel38[[#This Row],[Qatar - Gas]],Tb_Fuel38[[#This Row],[Override9]])</f>
        <v>4.0000000000000001E-3</v>
      </c>
      <c r="BQ12" s="855">
        <f>IF(ISBLANK(Tb_Fuel38[[#This Row],[Override10]]),Tb_Fuel38[[#This Row],[Germany - CO2 Price]],Tb_Fuel38[[#This Row],[Override10]])</f>
        <v>98.779910374566668</v>
      </c>
      <c r="BR12" s="855">
        <f>IF(ISBLANK(Tb_Fuel38[[#This Row],[Override11]]),Tb_Fuel38[[#This Row],[France - CO2 Price]],Tb_Fuel38[[#This Row],[Override11]])</f>
        <v>98.779910374566668</v>
      </c>
      <c r="BS12" s="855">
        <f>IF(ISBLANK(Tb_Fuel38[[#This Row],[Override12]]),Tb_Fuel38[[#This Row],[Spain - CO2 Price]],Tb_Fuel38[[#This Row],[Override12]])</f>
        <v>98.779910374566668</v>
      </c>
      <c r="BT12" s="855">
        <f>IF(ISBLANK(Tb_Fuel38[[#This Row],[Override13]]),Tb_Fuel38[[#This Row],[Algeria - CO2 Price]],Tb_Fuel38[[#This Row],[Override13]])</f>
        <v>0</v>
      </c>
      <c r="BU12" s="855">
        <f>IF(ISBLANK(Tb_Fuel38[[#This Row],[Override14]]),Tb_Fuel38[[#This Row],[Norway - CO2 Price]],Tb_Fuel38[[#This Row],[Override14]])</f>
        <v>98.779910374566668</v>
      </c>
      <c r="BV12" s="855">
        <f>IF(ISBLANK(Tb_Fuel38[[#This Row],[Override15]]),Tb_Fuel38[[#This Row],[Qatar - CO2 Price]],Tb_Fuel38[[#This Row],[Override15]])</f>
        <v>0</v>
      </c>
      <c r="BW12" s="855">
        <f>IF(ISBLANK(Tb_Fuel38[[#This Row],[Override16]]),Tb_Fuel38[[#This Row],[Global - Diesel]],Tb_Fuel38[[#This Row],[Override16]])</f>
        <v>1.3</v>
      </c>
      <c r="BX12" s="855">
        <f>IF(ISBLANK(Tb_Fuel38[[#This Row],[Override17]]),Tb_Fuel38[[#This Row],[Global - HFO]],Tb_Fuel38[[#This Row],[Override17]])</f>
        <v>1.0113910956318826E-2</v>
      </c>
    </row>
    <row r="13" spans="1:76">
      <c r="A13" s="107">
        <v>2030</v>
      </c>
      <c r="B13" s="113">
        <v>0.107</v>
      </c>
      <c r="C13" s="857"/>
      <c r="D13" s="113">
        <v>9.5000000000000001E-2</v>
      </c>
      <c r="E13" s="857"/>
      <c r="F13" s="113">
        <v>0.11</v>
      </c>
      <c r="G13" s="857"/>
      <c r="H13" s="113"/>
      <c r="I13" s="857"/>
      <c r="J13" s="113"/>
      <c r="K13" s="857"/>
      <c r="L13" s="113"/>
      <c r="M13" s="857"/>
      <c r="N13" s="113"/>
      <c r="O13" s="857"/>
      <c r="P13" s="113"/>
      <c r="Q13" s="857"/>
      <c r="R13" s="113"/>
      <c r="S13" s="857"/>
      <c r="T13" s="113">
        <v>2.8250000000000001E-2</v>
      </c>
      <c r="U13" s="857"/>
      <c r="V13" s="113">
        <v>2.8250000000000001E-2</v>
      </c>
      <c r="W13" s="857"/>
      <c r="X13" s="113">
        <v>2.8250000000000001E-2</v>
      </c>
      <c r="Y13" s="857"/>
      <c r="Z13" s="113">
        <f t="shared" si="0"/>
        <v>3.0000000000000001E-3</v>
      </c>
      <c r="AA13" s="857"/>
      <c r="AB13" s="113">
        <f t="shared" si="1"/>
        <v>8.0000000000000002E-3</v>
      </c>
      <c r="AC13" s="857"/>
      <c r="AD13" s="113">
        <f t="shared" si="2"/>
        <v>4.0000000000000001E-3</v>
      </c>
      <c r="AE13" s="857"/>
      <c r="AF13" s="113">
        <f>120/'General values'!$M$24</f>
        <v>101.46275471379047</v>
      </c>
      <c r="AG13" s="857"/>
      <c r="AH13" s="113">
        <f>120/'General values'!$M$24</f>
        <v>101.46275471379047</v>
      </c>
      <c r="AI13" s="857"/>
      <c r="AJ13" s="113">
        <f>120/'General values'!$M$24</f>
        <v>101.46275471379047</v>
      </c>
      <c r="AK13" s="857"/>
      <c r="AL13" s="113">
        <v>0</v>
      </c>
      <c r="AM13" s="857"/>
      <c r="AN13" s="113">
        <f>120/'General values'!$M$24</f>
        <v>101.46275471379047</v>
      </c>
      <c r="AO13" s="857"/>
      <c r="AP13" s="113">
        <v>0</v>
      </c>
      <c r="AQ13" s="857"/>
      <c r="AR13" s="113">
        <v>1.3</v>
      </c>
      <c r="AS13" s="857"/>
      <c r="AT13" s="113">
        <f>500/1000/'General values'!$M$24/'General values'!$B$30</f>
        <v>1.0113910956318826E-2</v>
      </c>
      <c r="AU13" s="857"/>
      <c r="BA13" s="854">
        <v>2030</v>
      </c>
      <c r="BB13" s="855">
        <f>IF(ISBLANK(Tb_Fuel38[[#This Row],[Override]]),Tb_Fuel38[[#This Row],[Germany - Grid]],Tb_Fuel38[[#This Row],[Override]])</f>
        <v>0.107</v>
      </c>
      <c r="BC13" s="855">
        <f>IF(ISBLANK(Tb_Fuel38[[#This Row],[Override2]]),Tb_Fuel38[[#This Row],[France - Grid]],Tb_Fuel38[[#This Row],[Override2]])</f>
        <v>9.5000000000000001E-2</v>
      </c>
      <c r="BD13" s="855">
        <f>IF(ISBLANK(Tb_Fuel38[[#This Row],[Override3]]),Tb_Fuel38[[#This Row],[Spain - Grid]],Tb_Fuel38[[#This Row],[Override3]])</f>
        <v>0.11</v>
      </c>
      <c r="BE13" s="855">
        <f>IF(ISBLANK(Tb_Fuel38[[#This Row],[Override18]]),Tb_Fuel38[[#This Row],[Germany - Feed-in electricity price]],Tb_Fuel38[[#This Row],[Override18]])</f>
        <v>0</v>
      </c>
      <c r="BF13" s="855">
        <f>IF(ISBLANK(Tb_Fuel38[[#This Row],[Override220]]),Tb_Fuel38[[#This Row],[France - Feed-in electricity price]],Tb_Fuel38[[#This Row],[Override220]])</f>
        <v>0</v>
      </c>
      <c r="BG13" s="855">
        <f>IF(ISBLANK(Tb_Fuel38[[#This Row],[Override322]]),Tb_Fuel38[[#This Row],[Spain - Feed-in electricity price]],Tb_Fuel38[[#This Row],[Override322]])</f>
        <v>0</v>
      </c>
      <c r="BH13" s="855">
        <f>IF(ISBLANK(Tb_Fuel38[[#This Row],[Override183]]),Tb_Fuel38[[#This Row],[Norway - Feed-in electricity price]],Tb_Fuel38[[#This Row],[Override183]])</f>
        <v>0</v>
      </c>
      <c r="BI13" s="855">
        <f>IF(ISBLANK(Tb_Fuel38[[#This Row],[Override2205]]),Tb_Fuel38[[#This Row],[Qatar - Feed-in electricity price]],Tb_Fuel38[[#This Row],[Override2205]])</f>
        <v>0</v>
      </c>
      <c r="BJ13" s="855">
        <f>IF(ISBLANK(Tb_Fuel38[[#This Row],[Override3227]]),Tb_Fuel38[[#This Row],[Algeria - Feed-in electricity price]],Tb_Fuel38[[#This Row],[Override3227]])</f>
        <v>0</v>
      </c>
      <c r="BK13" s="855">
        <f>IF(ISBLANK(Tb_Fuel38[[#This Row],[Override4]]),Tb_Fuel38[[#This Row],[Germany - Gas]],Tb_Fuel38[[#This Row],[Override4]])</f>
        <v>2.8250000000000001E-2</v>
      </c>
      <c r="BL13" s="855">
        <f>IF(ISBLANK(Tb_Fuel38[[#This Row],[Override5]]),Tb_Fuel38[[#This Row],[France - Gas]],Tb_Fuel38[[#This Row],[Override5]])</f>
        <v>2.8250000000000001E-2</v>
      </c>
      <c r="BM13" s="855">
        <f>IF(ISBLANK(Tb_Fuel38[[#This Row],[Override6]]),Tb_Fuel38[[#This Row],[Spain - Gas]],Tb_Fuel38[[#This Row],[Override6]])</f>
        <v>2.8250000000000001E-2</v>
      </c>
      <c r="BN13" s="855">
        <f>IF(ISBLANK(Tb_Fuel38[[#This Row],[Override7]]),Tb_Fuel38[[#This Row],[Algeria - Gas]],Tb_Fuel38[[#This Row],[Override7]])</f>
        <v>3.0000000000000001E-3</v>
      </c>
      <c r="BO13" s="855">
        <f>IF(ISBLANK(Tb_Fuel38[[#This Row],[Override8]]),Tb_Fuel38[[#This Row],[Norway - Gas]],Tb_Fuel38[[#This Row],[Override8]])</f>
        <v>8.0000000000000002E-3</v>
      </c>
      <c r="BP13" s="855">
        <f>IF(ISBLANK(Tb_Fuel38[[#This Row],[Override9]]),Tb_Fuel38[[#This Row],[Qatar - Gas]],Tb_Fuel38[[#This Row],[Override9]])</f>
        <v>4.0000000000000001E-3</v>
      </c>
      <c r="BQ13" s="855">
        <f>IF(ISBLANK(Tb_Fuel38[[#This Row],[Override10]]),Tb_Fuel38[[#This Row],[Germany - CO2 Price]],Tb_Fuel38[[#This Row],[Override10]])</f>
        <v>101.46275471379047</v>
      </c>
      <c r="BR13" s="855">
        <f>IF(ISBLANK(Tb_Fuel38[[#This Row],[Override11]]),Tb_Fuel38[[#This Row],[France - CO2 Price]],Tb_Fuel38[[#This Row],[Override11]])</f>
        <v>101.46275471379047</v>
      </c>
      <c r="BS13" s="855">
        <f>IF(ISBLANK(Tb_Fuel38[[#This Row],[Override12]]),Tb_Fuel38[[#This Row],[Spain - CO2 Price]],Tb_Fuel38[[#This Row],[Override12]])</f>
        <v>101.46275471379047</v>
      </c>
      <c r="BT13" s="855">
        <f>IF(ISBLANK(Tb_Fuel38[[#This Row],[Override13]]),Tb_Fuel38[[#This Row],[Algeria - CO2 Price]],Tb_Fuel38[[#This Row],[Override13]])</f>
        <v>0</v>
      </c>
      <c r="BU13" s="855">
        <f>IF(ISBLANK(Tb_Fuel38[[#This Row],[Override14]]),Tb_Fuel38[[#This Row],[Norway - CO2 Price]],Tb_Fuel38[[#This Row],[Override14]])</f>
        <v>101.46275471379047</v>
      </c>
      <c r="BV13" s="855">
        <f>IF(ISBLANK(Tb_Fuel38[[#This Row],[Override15]]),Tb_Fuel38[[#This Row],[Qatar - CO2 Price]],Tb_Fuel38[[#This Row],[Override15]])</f>
        <v>0</v>
      </c>
      <c r="BW13" s="855">
        <f>IF(ISBLANK(Tb_Fuel38[[#This Row],[Override16]]),Tb_Fuel38[[#This Row],[Global - Diesel]],Tb_Fuel38[[#This Row],[Override16]])</f>
        <v>1.3</v>
      </c>
      <c r="BX13" s="855">
        <f>IF(ISBLANK(Tb_Fuel38[[#This Row],[Override17]]),Tb_Fuel38[[#This Row],[Global - HFO]],Tb_Fuel38[[#This Row],[Override17]])</f>
        <v>1.0113910956318826E-2</v>
      </c>
    </row>
    <row r="14" spans="1:76">
      <c r="A14" s="107">
        <v>2031</v>
      </c>
      <c r="B14" s="113">
        <f t="shared" ref="B14:B43" si="3">B$13</f>
        <v>0.107</v>
      </c>
      <c r="C14" s="857"/>
      <c r="D14" s="113">
        <f t="shared" ref="D14:D43" si="4">D$13</f>
        <v>9.5000000000000001E-2</v>
      </c>
      <c r="E14" s="857"/>
      <c r="F14" s="113">
        <f>F$13</f>
        <v>0.11</v>
      </c>
      <c r="G14" s="857"/>
      <c r="H14" s="113"/>
      <c r="I14" s="857"/>
      <c r="J14" s="113"/>
      <c r="K14" s="857"/>
      <c r="L14" s="113"/>
      <c r="M14" s="857"/>
      <c r="N14" s="113"/>
      <c r="O14" s="857"/>
      <c r="P14" s="113"/>
      <c r="Q14" s="857"/>
      <c r="R14" s="113"/>
      <c r="S14" s="857"/>
      <c r="T14" s="113">
        <f t="shared" ref="T14:T43" si="5">T$13</f>
        <v>2.8250000000000001E-2</v>
      </c>
      <c r="U14" s="857"/>
      <c r="V14" s="113">
        <f t="shared" ref="V14:V43" si="6">V$13</f>
        <v>2.8250000000000001E-2</v>
      </c>
      <c r="W14" s="857"/>
      <c r="X14" s="113">
        <f t="shared" ref="X14:X43" si="7">X$13</f>
        <v>2.8250000000000001E-2</v>
      </c>
      <c r="Y14" s="857"/>
      <c r="Z14" s="113">
        <f t="shared" ref="Z14:Z43" si="8">Z$13</f>
        <v>3.0000000000000001E-3</v>
      </c>
      <c r="AA14" s="857"/>
      <c r="AB14" s="113">
        <f t="shared" ref="AB14:AB43" si="9">AB$13</f>
        <v>8.0000000000000002E-3</v>
      </c>
      <c r="AC14" s="857"/>
      <c r="AD14" s="113">
        <f t="shared" ref="AD14:AD43" si="10">AD$13</f>
        <v>4.0000000000000001E-3</v>
      </c>
      <c r="AE14" s="857"/>
      <c r="AF14" s="113">
        <f>(AF$23-AF$13)*(Tb_Fuel38[[#This Row],[Year]]-$A$13)/($A$23-$A$13)+AF$13</f>
        <v>105.69036949353175</v>
      </c>
      <c r="AG14" s="857"/>
      <c r="AH14" s="113">
        <f>(AH$23-AH$13)*(Tb_Fuel38[[#This Row],[Year]]-$A$13)/($A$23-$A$13)+AH$13</f>
        <v>105.69036949353175</v>
      </c>
      <c r="AI14" s="857"/>
      <c r="AJ14" s="113">
        <f>(AJ$23-AJ$13)*(Tb_Fuel38[[#This Row],[Year]]-$A$13)/($A$23-$A$13)+AJ$13</f>
        <v>105.69036949353175</v>
      </c>
      <c r="AK14" s="857"/>
      <c r="AL14" s="113">
        <f t="shared" ref="AL14:AL43" si="11">AL$13</f>
        <v>0</v>
      </c>
      <c r="AM14" s="857"/>
      <c r="AN14" s="113">
        <f>(AN$23-AN$13)*(Tb_Fuel38[[#This Row],[Year]]-$A$13)/($A$23-$A$13)+AN$13</f>
        <v>105.69036949353175</v>
      </c>
      <c r="AO14" s="857"/>
      <c r="AP14" s="113">
        <f t="shared" ref="AP14:AP43" si="12">AP$13</f>
        <v>0</v>
      </c>
      <c r="AQ14" s="857"/>
      <c r="AR14" s="113">
        <f t="shared" ref="AR14:AR43" si="13">AR$13</f>
        <v>1.3</v>
      </c>
      <c r="AS14" s="857"/>
      <c r="AT14" s="113">
        <f t="shared" ref="AT14:AT43" si="14">AT$13</f>
        <v>1.0113910956318826E-2</v>
      </c>
      <c r="AU14" s="857"/>
      <c r="BA14" s="854">
        <v>2031</v>
      </c>
      <c r="BB14" s="855">
        <f>IF(ISBLANK(Tb_Fuel38[[#This Row],[Override]]),Tb_Fuel38[[#This Row],[Germany - Grid]],Tb_Fuel38[[#This Row],[Override]])</f>
        <v>0.107</v>
      </c>
      <c r="BC14" s="855">
        <f>IF(ISBLANK(Tb_Fuel38[[#This Row],[Override2]]),Tb_Fuel38[[#This Row],[France - Grid]],Tb_Fuel38[[#This Row],[Override2]])</f>
        <v>9.5000000000000001E-2</v>
      </c>
      <c r="BD14" s="855">
        <f>IF(ISBLANK(Tb_Fuel38[[#This Row],[Override3]]),Tb_Fuel38[[#This Row],[Spain - Grid]],Tb_Fuel38[[#This Row],[Override3]])</f>
        <v>0.11</v>
      </c>
      <c r="BE14" s="855">
        <f>IF(ISBLANK(Tb_Fuel38[[#This Row],[Override18]]),Tb_Fuel38[[#This Row],[Germany - Feed-in electricity price]],Tb_Fuel38[[#This Row],[Override18]])</f>
        <v>0</v>
      </c>
      <c r="BF14" s="855">
        <f>IF(ISBLANK(Tb_Fuel38[[#This Row],[Override220]]),Tb_Fuel38[[#This Row],[France - Feed-in electricity price]],Tb_Fuel38[[#This Row],[Override220]])</f>
        <v>0</v>
      </c>
      <c r="BG14" s="855">
        <f>IF(ISBLANK(Tb_Fuel38[[#This Row],[Override322]]),Tb_Fuel38[[#This Row],[Spain - Feed-in electricity price]],Tb_Fuel38[[#This Row],[Override322]])</f>
        <v>0</v>
      </c>
      <c r="BH14" s="855">
        <f>IF(ISBLANK(Tb_Fuel38[[#This Row],[Override183]]),Tb_Fuel38[[#This Row],[Norway - Feed-in electricity price]],Tb_Fuel38[[#This Row],[Override183]])</f>
        <v>0</v>
      </c>
      <c r="BI14" s="855">
        <f>IF(ISBLANK(Tb_Fuel38[[#This Row],[Override2205]]),Tb_Fuel38[[#This Row],[Qatar - Feed-in electricity price]],Tb_Fuel38[[#This Row],[Override2205]])</f>
        <v>0</v>
      </c>
      <c r="BJ14" s="855">
        <f>IF(ISBLANK(Tb_Fuel38[[#This Row],[Override3227]]),Tb_Fuel38[[#This Row],[Algeria - Feed-in electricity price]],Tb_Fuel38[[#This Row],[Override3227]])</f>
        <v>0</v>
      </c>
      <c r="BK14" s="855">
        <f>IF(ISBLANK(Tb_Fuel38[[#This Row],[Override4]]),Tb_Fuel38[[#This Row],[Germany - Gas]],Tb_Fuel38[[#This Row],[Override4]])</f>
        <v>2.8250000000000001E-2</v>
      </c>
      <c r="BL14" s="855">
        <f>IF(ISBLANK(Tb_Fuel38[[#This Row],[Override5]]),Tb_Fuel38[[#This Row],[France - Gas]],Tb_Fuel38[[#This Row],[Override5]])</f>
        <v>2.8250000000000001E-2</v>
      </c>
      <c r="BM14" s="855">
        <f>IF(ISBLANK(Tb_Fuel38[[#This Row],[Override6]]),Tb_Fuel38[[#This Row],[Spain - Gas]],Tb_Fuel38[[#This Row],[Override6]])</f>
        <v>2.8250000000000001E-2</v>
      </c>
      <c r="BN14" s="855">
        <f>IF(ISBLANK(Tb_Fuel38[[#This Row],[Override7]]),Tb_Fuel38[[#This Row],[Algeria - Gas]],Tb_Fuel38[[#This Row],[Override7]])</f>
        <v>3.0000000000000001E-3</v>
      </c>
      <c r="BO14" s="855">
        <f>IF(ISBLANK(Tb_Fuel38[[#This Row],[Override8]]),Tb_Fuel38[[#This Row],[Norway - Gas]],Tb_Fuel38[[#This Row],[Override8]])</f>
        <v>8.0000000000000002E-3</v>
      </c>
      <c r="BP14" s="855">
        <f>IF(ISBLANK(Tb_Fuel38[[#This Row],[Override9]]),Tb_Fuel38[[#This Row],[Qatar - Gas]],Tb_Fuel38[[#This Row],[Override9]])</f>
        <v>4.0000000000000001E-3</v>
      </c>
      <c r="BQ14" s="855">
        <f>IF(ISBLANK(Tb_Fuel38[[#This Row],[Override10]]),Tb_Fuel38[[#This Row],[Germany - CO2 Price]],Tb_Fuel38[[#This Row],[Override10]])</f>
        <v>105.69036949353175</v>
      </c>
      <c r="BR14" s="855">
        <f>IF(ISBLANK(Tb_Fuel38[[#This Row],[Override11]]),Tb_Fuel38[[#This Row],[France - CO2 Price]],Tb_Fuel38[[#This Row],[Override11]])</f>
        <v>105.69036949353175</v>
      </c>
      <c r="BS14" s="855">
        <f>IF(ISBLANK(Tb_Fuel38[[#This Row],[Override12]]),Tb_Fuel38[[#This Row],[Spain - CO2 Price]],Tb_Fuel38[[#This Row],[Override12]])</f>
        <v>105.69036949353175</v>
      </c>
      <c r="BT14" s="855">
        <f>IF(ISBLANK(Tb_Fuel38[[#This Row],[Override13]]),Tb_Fuel38[[#This Row],[Algeria - CO2 Price]],Tb_Fuel38[[#This Row],[Override13]])</f>
        <v>0</v>
      </c>
      <c r="BU14" s="855">
        <f>IF(ISBLANK(Tb_Fuel38[[#This Row],[Override14]]),Tb_Fuel38[[#This Row],[Norway - CO2 Price]],Tb_Fuel38[[#This Row],[Override14]])</f>
        <v>105.69036949353175</v>
      </c>
      <c r="BV14" s="855">
        <f>IF(ISBLANK(Tb_Fuel38[[#This Row],[Override15]]),Tb_Fuel38[[#This Row],[Qatar - CO2 Price]],Tb_Fuel38[[#This Row],[Override15]])</f>
        <v>0</v>
      </c>
      <c r="BW14" s="855">
        <f>IF(ISBLANK(Tb_Fuel38[[#This Row],[Override16]]),Tb_Fuel38[[#This Row],[Global - Diesel]],Tb_Fuel38[[#This Row],[Override16]])</f>
        <v>1.3</v>
      </c>
      <c r="BX14" s="855">
        <f>IF(ISBLANK(Tb_Fuel38[[#This Row],[Override17]]),Tb_Fuel38[[#This Row],[Global - HFO]],Tb_Fuel38[[#This Row],[Override17]])</f>
        <v>1.0113910956318826E-2</v>
      </c>
    </row>
    <row r="15" spans="1:76">
      <c r="A15" s="107">
        <v>2032</v>
      </c>
      <c r="B15" s="113">
        <f t="shared" si="3"/>
        <v>0.107</v>
      </c>
      <c r="C15" s="857"/>
      <c r="D15" s="113">
        <f t="shared" si="4"/>
        <v>9.5000000000000001E-2</v>
      </c>
      <c r="E15" s="857"/>
      <c r="F15" s="113">
        <f t="shared" ref="F15:F43" si="15">F$13</f>
        <v>0.11</v>
      </c>
      <c r="G15" s="857"/>
      <c r="H15" s="113"/>
      <c r="I15" s="857"/>
      <c r="J15" s="113"/>
      <c r="K15" s="857"/>
      <c r="L15" s="113"/>
      <c r="M15" s="857"/>
      <c r="N15" s="113"/>
      <c r="O15" s="857"/>
      <c r="P15" s="113"/>
      <c r="Q15" s="857"/>
      <c r="R15" s="113"/>
      <c r="S15" s="857"/>
      <c r="T15" s="113">
        <f t="shared" si="5"/>
        <v>2.8250000000000001E-2</v>
      </c>
      <c r="U15" s="857"/>
      <c r="V15" s="113">
        <f t="shared" si="6"/>
        <v>2.8250000000000001E-2</v>
      </c>
      <c r="W15" s="857"/>
      <c r="X15" s="113">
        <f t="shared" si="7"/>
        <v>2.8250000000000001E-2</v>
      </c>
      <c r="Y15" s="857"/>
      <c r="Z15" s="113">
        <f t="shared" si="8"/>
        <v>3.0000000000000001E-3</v>
      </c>
      <c r="AA15" s="857"/>
      <c r="AB15" s="113">
        <f t="shared" si="9"/>
        <v>8.0000000000000002E-3</v>
      </c>
      <c r="AC15" s="857"/>
      <c r="AD15" s="113">
        <f t="shared" si="10"/>
        <v>4.0000000000000001E-3</v>
      </c>
      <c r="AE15" s="857"/>
      <c r="AF15" s="113">
        <f>($AF$23-$AF$13)*(Tb_Fuel38[[#This Row],[Year]]-$A$13)/($A$23-$A$13)+$AF$13</f>
        <v>109.91798427327302</v>
      </c>
      <c r="AG15" s="857"/>
      <c r="AH15" s="113">
        <f>($AF$23-$AF$13)*(Tb_Fuel38[[#This Row],[Year]]-$A$13)/($A$23-$A$13)+$AF$13</f>
        <v>109.91798427327302</v>
      </c>
      <c r="AI15" s="857"/>
      <c r="AJ15" s="113">
        <f>($AF$23-$AF$13)*(Tb_Fuel38[[#This Row],[Year]]-$A$13)/($A$23-$A$13)+$AF$13</f>
        <v>109.91798427327302</v>
      </c>
      <c r="AK15" s="857"/>
      <c r="AL15" s="113">
        <f t="shared" si="11"/>
        <v>0</v>
      </c>
      <c r="AM15" s="857"/>
      <c r="AN15" s="113">
        <f>($AF$23-$AF$13)*(Tb_Fuel38[[#This Row],[Year]]-$A$13)/($A$23-$A$13)+$AF$13</f>
        <v>109.91798427327302</v>
      </c>
      <c r="AO15" s="857"/>
      <c r="AP15" s="113">
        <f t="shared" si="12"/>
        <v>0</v>
      </c>
      <c r="AQ15" s="857"/>
      <c r="AR15" s="113">
        <f t="shared" si="13"/>
        <v>1.3</v>
      </c>
      <c r="AS15" s="857"/>
      <c r="AT15" s="113">
        <f t="shared" si="14"/>
        <v>1.0113910956318826E-2</v>
      </c>
      <c r="AU15" s="859"/>
      <c r="BA15" s="854">
        <v>2032</v>
      </c>
      <c r="BB15" s="855">
        <f>IF(ISBLANK(Tb_Fuel38[[#This Row],[Override]]),Tb_Fuel38[[#This Row],[Germany - Grid]],Tb_Fuel38[[#This Row],[Override]])</f>
        <v>0.107</v>
      </c>
      <c r="BC15" s="855">
        <f>IF(ISBLANK(Tb_Fuel38[[#This Row],[Override2]]),Tb_Fuel38[[#This Row],[France - Grid]],Tb_Fuel38[[#This Row],[Override2]])</f>
        <v>9.5000000000000001E-2</v>
      </c>
      <c r="BD15" s="855">
        <f>IF(ISBLANK(Tb_Fuel38[[#This Row],[Override3]]),Tb_Fuel38[[#This Row],[Spain - Grid]],Tb_Fuel38[[#This Row],[Override3]])</f>
        <v>0.11</v>
      </c>
      <c r="BE15" s="855">
        <f>IF(ISBLANK(Tb_Fuel38[[#This Row],[Override18]]),Tb_Fuel38[[#This Row],[Germany - Feed-in electricity price]],Tb_Fuel38[[#This Row],[Override18]])</f>
        <v>0</v>
      </c>
      <c r="BF15" s="855">
        <f>IF(ISBLANK(Tb_Fuel38[[#This Row],[Override220]]),Tb_Fuel38[[#This Row],[France - Feed-in electricity price]],Tb_Fuel38[[#This Row],[Override220]])</f>
        <v>0</v>
      </c>
      <c r="BG15" s="855">
        <f>IF(ISBLANK(Tb_Fuel38[[#This Row],[Override322]]),Tb_Fuel38[[#This Row],[Spain - Feed-in electricity price]],Tb_Fuel38[[#This Row],[Override322]])</f>
        <v>0</v>
      </c>
      <c r="BH15" s="855">
        <f>IF(ISBLANK(Tb_Fuel38[[#This Row],[Override183]]),Tb_Fuel38[[#This Row],[Norway - Feed-in electricity price]],Tb_Fuel38[[#This Row],[Override183]])</f>
        <v>0</v>
      </c>
      <c r="BI15" s="855">
        <f>IF(ISBLANK(Tb_Fuel38[[#This Row],[Override2205]]),Tb_Fuel38[[#This Row],[Qatar - Feed-in electricity price]],Tb_Fuel38[[#This Row],[Override2205]])</f>
        <v>0</v>
      </c>
      <c r="BJ15" s="855">
        <f>IF(ISBLANK(Tb_Fuel38[[#This Row],[Override3227]]),Tb_Fuel38[[#This Row],[Algeria - Feed-in electricity price]],Tb_Fuel38[[#This Row],[Override3227]])</f>
        <v>0</v>
      </c>
      <c r="BK15" s="855">
        <f>IF(ISBLANK(Tb_Fuel38[[#This Row],[Override4]]),Tb_Fuel38[[#This Row],[Germany - Gas]],Tb_Fuel38[[#This Row],[Override4]])</f>
        <v>2.8250000000000001E-2</v>
      </c>
      <c r="BL15" s="855">
        <f>IF(ISBLANK(Tb_Fuel38[[#This Row],[Override5]]),Tb_Fuel38[[#This Row],[France - Gas]],Tb_Fuel38[[#This Row],[Override5]])</f>
        <v>2.8250000000000001E-2</v>
      </c>
      <c r="BM15" s="855">
        <f>IF(ISBLANK(Tb_Fuel38[[#This Row],[Override6]]),Tb_Fuel38[[#This Row],[Spain - Gas]],Tb_Fuel38[[#This Row],[Override6]])</f>
        <v>2.8250000000000001E-2</v>
      </c>
      <c r="BN15" s="855">
        <f>IF(ISBLANK(Tb_Fuel38[[#This Row],[Override7]]),Tb_Fuel38[[#This Row],[Algeria - Gas]],Tb_Fuel38[[#This Row],[Override7]])</f>
        <v>3.0000000000000001E-3</v>
      </c>
      <c r="BO15" s="855">
        <f>IF(ISBLANK(Tb_Fuel38[[#This Row],[Override8]]),Tb_Fuel38[[#This Row],[Norway - Gas]],Tb_Fuel38[[#This Row],[Override8]])</f>
        <v>8.0000000000000002E-3</v>
      </c>
      <c r="BP15" s="855">
        <f>IF(ISBLANK(Tb_Fuel38[[#This Row],[Override9]]),Tb_Fuel38[[#This Row],[Qatar - Gas]],Tb_Fuel38[[#This Row],[Override9]])</f>
        <v>4.0000000000000001E-3</v>
      </c>
      <c r="BQ15" s="855">
        <f>IF(ISBLANK(Tb_Fuel38[[#This Row],[Override10]]),Tb_Fuel38[[#This Row],[Germany - CO2 Price]],Tb_Fuel38[[#This Row],[Override10]])</f>
        <v>109.91798427327302</v>
      </c>
      <c r="BR15" s="855">
        <f>IF(ISBLANK(Tb_Fuel38[[#This Row],[Override11]]),Tb_Fuel38[[#This Row],[France - CO2 Price]],Tb_Fuel38[[#This Row],[Override11]])</f>
        <v>109.91798427327302</v>
      </c>
      <c r="BS15" s="855">
        <f>IF(ISBLANK(Tb_Fuel38[[#This Row],[Override12]]),Tb_Fuel38[[#This Row],[Spain - CO2 Price]],Tb_Fuel38[[#This Row],[Override12]])</f>
        <v>109.91798427327302</v>
      </c>
      <c r="BT15" s="855">
        <f>IF(ISBLANK(Tb_Fuel38[[#This Row],[Override13]]),Tb_Fuel38[[#This Row],[Algeria - CO2 Price]],Tb_Fuel38[[#This Row],[Override13]])</f>
        <v>0</v>
      </c>
      <c r="BU15" s="855">
        <f>IF(ISBLANK(Tb_Fuel38[[#This Row],[Override14]]),Tb_Fuel38[[#This Row],[Norway - CO2 Price]],Tb_Fuel38[[#This Row],[Override14]])</f>
        <v>109.91798427327302</v>
      </c>
      <c r="BV15" s="855">
        <f>IF(ISBLANK(Tb_Fuel38[[#This Row],[Override15]]),Tb_Fuel38[[#This Row],[Qatar - CO2 Price]],Tb_Fuel38[[#This Row],[Override15]])</f>
        <v>0</v>
      </c>
      <c r="BW15" s="855">
        <f>IF(ISBLANK(Tb_Fuel38[[#This Row],[Override16]]),Tb_Fuel38[[#This Row],[Global - Diesel]],Tb_Fuel38[[#This Row],[Override16]])</f>
        <v>1.3</v>
      </c>
      <c r="BX15" s="855">
        <f>IF(ISBLANK(Tb_Fuel38[[#This Row],[Override17]]),Tb_Fuel38[[#This Row],[Global - HFO]],Tb_Fuel38[[#This Row],[Override17]])</f>
        <v>1.0113910956318826E-2</v>
      </c>
    </row>
    <row r="16" spans="1:76">
      <c r="A16" s="107">
        <v>2033</v>
      </c>
      <c r="B16" s="113">
        <f t="shared" si="3"/>
        <v>0.107</v>
      </c>
      <c r="C16" s="857"/>
      <c r="D16" s="113">
        <f t="shared" si="4"/>
        <v>9.5000000000000001E-2</v>
      </c>
      <c r="E16" s="857"/>
      <c r="F16" s="113">
        <f t="shared" si="15"/>
        <v>0.11</v>
      </c>
      <c r="G16" s="857"/>
      <c r="H16" s="113"/>
      <c r="I16" s="857"/>
      <c r="J16" s="113"/>
      <c r="K16" s="857"/>
      <c r="L16" s="113"/>
      <c r="M16" s="857"/>
      <c r="N16" s="113"/>
      <c r="O16" s="857"/>
      <c r="P16" s="113"/>
      <c r="Q16" s="857"/>
      <c r="R16" s="113"/>
      <c r="S16" s="857"/>
      <c r="T16" s="113">
        <f t="shared" si="5"/>
        <v>2.8250000000000001E-2</v>
      </c>
      <c r="U16" s="857"/>
      <c r="V16" s="113">
        <f t="shared" si="6"/>
        <v>2.8250000000000001E-2</v>
      </c>
      <c r="W16" s="857"/>
      <c r="X16" s="113">
        <f t="shared" si="7"/>
        <v>2.8250000000000001E-2</v>
      </c>
      <c r="Y16" s="857"/>
      <c r="Z16" s="113">
        <f t="shared" si="8"/>
        <v>3.0000000000000001E-3</v>
      </c>
      <c r="AA16" s="857"/>
      <c r="AB16" s="113">
        <f t="shared" si="9"/>
        <v>8.0000000000000002E-3</v>
      </c>
      <c r="AC16" s="857"/>
      <c r="AD16" s="113">
        <f t="shared" si="10"/>
        <v>4.0000000000000001E-3</v>
      </c>
      <c r="AE16" s="857"/>
      <c r="AF16" s="113">
        <f>($AF$23-$AF$13)*(Tb_Fuel38[[#This Row],[Year]]-$A$13)/($A$23-$A$13)+$AF$13</f>
        <v>114.14559905301428</v>
      </c>
      <c r="AG16" s="857"/>
      <c r="AH16" s="113">
        <f>($AF$23-$AF$13)*(Tb_Fuel38[[#This Row],[Year]]-$A$13)/($A$23-$A$13)+$AF$13</f>
        <v>114.14559905301428</v>
      </c>
      <c r="AI16" s="857"/>
      <c r="AJ16" s="113">
        <f>($AF$23-$AF$13)*(Tb_Fuel38[[#This Row],[Year]]-$A$13)/($A$23-$A$13)+$AF$13</f>
        <v>114.14559905301428</v>
      </c>
      <c r="AK16" s="857"/>
      <c r="AL16" s="113">
        <f t="shared" si="11"/>
        <v>0</v>
      </c>
      <c r="AM16" s="857"/>
      <c r="AN16" s="113">
        <f>($AF$23-$AF$13)*(Tb_Fuel38[[#This Row],[Year]]-$A$13)/($A$23-$A$13)+$AF$13</f>
        <v>114.14559905301428</v>
      </c>
      <c r="AO16" s="857"/>
      <c r="AP16" s="113">
        <f t="shared" si="12"/>
        <v>0</v>
      </c>
      <c r="AQ16" s="857"/>
      <c r="AR16" s="113">
        <f t="shared" si="13"/>
        <v>1.3</v>
      </c>
      <c r="AS16" s="857"/>
      <c r="AT16" s="113">
        <f t="shared" si="14"/>
        <v>1.0113910956318826E-2</v>
      </c>
      <c r="AU16" s="859"/>
      <c r="BA16" s="854">
        <v>2033</v>
      </c>
      <c r="BB16" s="855">
        <f>IF(ISBLANK(Tb_Fuel38[[#This Row],[Override]]),Tb_Fuel38[[#This Row],[Germany - Grid]],Tb_Fuel38[[#This Row],[Override]])</f>
        <v>0.107</v>
      </c>
      <c r="BC16" s="855">
        <f>IF(ISBLANK(Tb_Fuel38[[#This Row],[Override2]]),Tb_Fuel38[[#This Row],[France - Grid]],Tb_Fuel38[[#This Row],[Override2]])</f>
        <v>9.5000000000000001E-2</v>
      </c>
      <c r="BD16" s="855">
        <f>IF(ISBLANK(Tb_Fuel38[[#This Row],[Override3]]),Tb_Fuel38[[#This Row],[Spain - Grid]],Tb_Fuel38[[#This Row],[Override3]])</f>
        <v>0.11</v>
      </c>
      <c r="BE16" s="855">
        <f>IF(ISBLANK(Tb_Fuel38[[#This Row],[Override18]]),Tb_Fuel38[[#This Row],[Germany - Feed-in electricity price]],Tb_Fuel38[[#This Row],[Override18]])</f>
        <v>0</v>
      </c>
      <c r="BF16" s="855">
        <f>IF(ISBLANK(Tb_Fuel38[[#This Row],[Override220]]),Tb_Fuel38[[#This Row],[France - Feed-in electricity price]],Tb_Fuel38[[#This Row],[Override220]])</f>
        <v>0</v>
      </c>
      <c r="BG16" s="855">
        <f>IF(ISBLANK(Tb_Fuel38[[#This Row],[Override322]]),Tb_Fuel38[[#This Row],[Spain - Feed-in electricity price]],Tb_Fuel38[[#This Row],[Override322]])</f>
        <v>0</v>
      </c>
      <c r="BH16" s="855">
        <f>IF(ISBLANK(Tb_Fuel38[[#This Row],[Override183]]),Tb_Fuel38[[#This Row],[Norway - Feed-in electricity price]],Tb_Fuel38[[#This Row],[Override183]])</f>
        <v>0</v>
      </c>
      <c r="BI16" s="855">
        <f>IF(ISBLANK(Tb_Fuel38[[#This Row],[Override2205]]),Tb_Fuel38[[#This Row],[Qatar - Feed-in electricity price]],Tb_Fuel38[[#This Row],[Override2205]])</f>
        <v>0</v>
      </c>
      <c r="BJ16" s="855">
        <f>IF(ISBLANK(Tb_Fuel38[[#This Row],[Override3227]]),Tb_Fuel38[[#This Row],[Algeria - Feed-in electricity price]],Tb_Fuel38[[#This Row],[Override3227]])</f>
        <v>0</v>
      </c>
      <c r="BK16" s="855">
        <f>IF(ISBLANK(Tb_Fuel38[[#This Row],[Override4]]),Tb_Fuel38[[#This Row],[Germany - Gas]],Tb_Fuel38[[#This Row],[Override4]])</f>
        <v>2.8250000000000001E-2</v>
      </c>
      <c r="BL16" s="855">
        <f>IF(ISBLANK(Tb_Fuel38[[#This Row],[Override5]]),Tb_Fuel38[[#This Row],[France - Gas]],Tb_Fuel38[[#This Row],[Override5]])</f>
        <v>2.8250000000000001E-2</v>
      </c>
      <c r="BM16" s="855">
        <f>IF(ISBLANK(Tb_Fuel38[[#This Row],[Override6]]),Tb_Fuel38[[#This Row],[Spain - Gas]],Tb_Fuel38[[#This Row],[Override6]])</f>
        <v>2.8250000000000001E-2</v>
      </c>
      <c r="BN16" s="855">
        <f>IF(ISBLANK(Tb_Fuel38[[#This Row],[Override7]]),Tb_Fuel38[[#This Row],[Algeria - Gas]],Tb_Fuel38[[#This Row],[Override7]])</f>
        <v>3.0000000000000001E-3</v>
      </c>
      <c r="BO16" s="855">
        <f>IF(ISBLANK(Tb_Fuel38[[#This Row],[Override8]]),Tb_Fuel38[[#This Row],[Norway - Gas]],Tb_Fuel38[[#This Row],[Override8]])</f>
        <v>8.0000000000000002E-3</v>
      </c>
      <c r="BP16" s="855">
        <f>IF(ISBLANK(Tb_Fuel38[[#This Row],[Override9]]),Tb_Fuel38[[#This Row],[Qatar - Gas]],Tb_Fuel38[[#This Row],[Override9]])</f>
        <v>4.0000000000000001E-3</v>
      </c>
      <c r="BQ16" s="855">
        <f>IF(ISBLANK(Tb_Fuel38[[#This Row],[Override10]]),Tb_Fuel38[[#This Row],[Germany - CO2 Price]],Tb_Fuel38[[#This Row],[Override10]])</f>
        <v>114.14559905301428</v>
      </c>
      <c r="BR16" s="855">
        <f>IF(ISBLANK(Tb_Fuel38[[#This Row],[Override11]]),Tb_Fuel38[[#This Row],[France - CO2 Price]],Tb_Fuel38[[#This Row],[Override11]])</f>
        <v>114.14559905301428</v>
      </c>
      <c r="BS16" s="855">
        <f>IF(ISBLANK(Tb_Fuel38[[#This Row],[Override12]]),Tb_Fuel38[[#This Row],[Spain - CO2 Price]],Tb_Fuel38[[#This Row],[Override12]])</f>
        <v>114.14559905301428</v>
      </c>
      <c r="BT16" s="855">
        <f>IF(ISBLANK(Tb_Fuel38[[#This Row],[Override13]]),Tb_Fuel38[[#This Row],[Algeria - CO2 Price]],Tb_Fuel38[[#This Row],[Override13]])</f>
        <v>0</v>
      </c>
      <c r="BU16" s="855">
        <f>IF(ISBLANK(Tb_Fuel38[[#This Row],[Override14]]),Tb_Fuel38[[#This Row],[Norway - CO2 Price]],Tb_Fuel38[[#This Row],[Override14]])</f>
        <v>114.14559905301428</v>
      </c>
      <c r="BV16" s="855">
        <f>IF(ISBLANK(Tb_Fuel38[[#This Row],[Override15]]),Tb_Fuel38[[#This Row],[Qatar - CO2 Price]],Tb_Fuel38[[#This Row],[Override15]])</f>
        <v>0</v>
      </c>
      <c r="BW16" s="855">
        <f>IF(ISBLANK(Tb_Fuel38[[#This Row],[Override16]]),Tb_Fuel38[[#This Row],[Global - Diesel]],Tb_Fuel38[[#This Row],[Override16]])</f>
        <v>1.3</v>
      </c>
      <c r="BX16" s="855">
        <f>IF(ISBLANK(Tb_Fuel38[[#This Row],[Override17]]),Tb_Fuel38[[#This Row],[Global - HFO]],Tb_Fuel38[[#This Row],[Override17]])</f>
        <v>1.0113910956318826E-2</v>
      </c>
    </row>
    <row r="17" spans="1:76">
      <c r="A17" s="107">
        <v>2034</v>
      </c>
      <c r="B17" s="113">
        <f t="shared" si="3"/>
        <v>0.107</v>
      </c>
      <c r="C17" s="857"/>
      <c r="D17" s="113">
        <f t="shared" si="4"/>
        <v>9.5000000000000001E-2</v>
      </c>
      <c r="E17" s="857"/>
      <c r="F17" s="113">
        <f t="shared" si="15"/>
        <v>0.11</v>
      </c>
      <c r="G17" s="857"/>
      <c r="H17" s="113"/>
      <c r="I17" s="857"/>
      <c r="J17" s="113"/>
      <c r="K17" s="857"/>
      <c r="L17" s="113"/>
      <c r="M17" s="857"/>
      <c r="N17" s="113"/>
      <c r="O17" s="857"/>
      <c r="P17" s="113"/>
      <c r="Q17" s="857"/>
      <c r="R17" s="113"/>
      <c r="S17" s="857"/>
      <c r="T17" s="113">
        <f t="shared" si="5"/>
        <v>2.8250000000000001E-2</v>
      </c>
      <c r="U17" s="857"/>
      <c r="V17" s="113">
        <f t="shared" si="6"/>
        <v>2.8250000000000001E-2</v>
      </c>
      <c r="W17" s="857"/>
      <c r="X17" s="113">
        <f t="shared" si="7"/>
        <v>2.8250000000000001E-2</v>
      </c>
      <c r="Y17" s="857"/>
      <c r="Z17" s="113">
        <f t="shared" si="8"/>
        <v>3.0000000000000001E-3</v>
      </c>
      <c r="AA17" s="857"/>
      <c r="AB17" s="113">
        <f t="shared" si="9"/>
        <v>8.0000000000000002E-3</v>
      </c>
      <c r="AC17" s="857"/>
      <c r="AD17" s="113">
        <f t="shared" si="10"/>
        <v>4.0000000000000001E-3</v>
      </c>
      <c r="AE17" s="857"/>
      <c r="AF17" s="113">
        <f>($AF$23-$AF$13)*(Tb_Fuel38[[#This Row],[Year]]-$A$13)/($A$23-$A$13)+$AF$13</f>
        <v>118.37321383275555</v>
      </c>
      <c r="AG17" s="857"/>
      <c r="AH17" s="113">
        <f>($AF$23-$AF$13)*(Tb_Fuel38[[#This Row],[Year]]-$A$13)/($A$23-$A$13)+$AF$13</f>
        <v>118.37321383275555</v>
      </c>
      <c r="AI17" s="857"/>
      <c r="AJ17" s="113">
        <f>($AF$23-$AF$13)*(Tb_Fuel38[[#This Row],[Year]]-$A$13)/($A$23-$A$13)+$AF$13</f>
        <v>118.37321383275555</v>
      </c>
      <c r="AK17" s="857"/>
      <c r="AL17" s="113">
        <f t="shared" si="11"/>
        <v>0</v>
      </c>
      <c r="AM17" s="857"/>
      <c r="AN17" s="113">
        <f>($AF$23-$AF$13)*(Tb_Fuel38[[#This Row],[Year]]-$A$13)/($A$23-$A$13)+$AF$13</f>
        <v>118.37321383275555</v>
      </c>
      <c r="AO17" s="857"/>
      <c r="AP17" s="113">
        <f t="shared" si="12"/>
        <v>0</v>
      </c>
      <c r="AQ17" s="857"/>
      <c r="AR17" s="113">
        <f t="shared" si="13"/>
        <v>1.3</v>
      </c>
      <c r="AS17" s="857"/>
      <c r="AT17" s="113">
        <f t="shared" si="14"/>
        <v>1.0113910956318826E-2</v>
      </c>
      <c r="AU17" s="859"/>
      <c r="BA17" s="854">
        <v>2034</v>
      </c>
      <c r="BB17" s="855">
        <f>IF(ISBLANK(Tb_Fuel38[[#This Row],[Override]]),Tb_Fuel38[[#This Row],[Germany - Grid]],Tb_Fuel38[[#This Row],[Override]])</f>
        <v>0.107</v>
      </c>
      <c r="BC17" s="855">
        <f>IF(ISBLANK(Tb_Fuel38[[#This Row],[Override2]]),Tb_Fuel38[[#This Row],[France - Grid]],Tb_Fuel38[[#This Row],[Override2]])</f>
        <v>9.5000000000000001E-2</v>
      </c>
      <c r="BD17" s="855">
        <f>IF(ISBLANK(Tb_Fuel38[[#This Row],[Override3]]),Tb_Fuel38[[#This Row],[Spain - Grid]],Tb_Fuel38[[#This Row],[Override3]])</f>
        <v>0.11</v>
      </c>
      <c r="BE17" s="855">
        <f>IF(ISBLANK(Tb_Fuel38[[#This Row],[Override18]]),Tb_Fuel38[[#This Row],[Germany - Feed-in electricity price]],Tb_Fuel38[[#This Row],[Override18]])</f>
        <v>0</v>
      </c>
      <c r="BF17" s="855">
        <f>IF(ISBLANK(Tb_Fuel38[[#This Row],[Override220]]),Tb_Fuel38[[#This Row],[France - Feed-in electricity price]],Tb_Fuel38[[#This Row],[Override220]])</f>
        <v>0</v>
      </c>
      <c r="BG17" s="855">
        <f>IF(ISBLANK(Tb_Fuel38[[#This Row],[Override322]]),Tb_Fuel38[[#This Row],[Spain - Feed-in electricity price]],Tb_Fuel38[[#This Row],[Override322]])</f>
        <v>0</v>
      </c>
      <c r="BH17" s="855">
        <f>IF(ISBLANK(Tb_Fuel38[[#This Row],[Override183]]),Tb_Fuel38[[#This Row],[Norway - Feed-in electricity price]],Tb_Fuel38[[#This Row],[Override183]])</f>
        <v>0</v>
      </c>
      <c r="BI17" s="855">
        <f>IF(ISBLANK(Tb_Fuel38[[#This Row],[Override2205]]),Tb_Fuel38[[#This Row],[Qatar - Feed-in electricity price]],Tb_Fuel38[[#This Row],[Override2205]])</f>
        <v>0</v>
      </c>
      <c r="BJ17" s="855">
        <f>IF(ISBLANK(Tb_Fuel38[[#This Row],[Override3227]]),Tb_Fuel38[[#This Row],[Algeria - Feed-in electricity price]],Tb_Fuel38[[#This Row],[Override3227]])</f>
        <v>0</v>
      </c>
      <c r="BK17" s="855">
        <f>IF(ISBLANK(Tb_Fuel38[[#This Row],[Override4]]),Tb_Fuel38[[#This Row],[Germany - Gas]],Tb_Fuel38[[#This Row],[Override4]])</f>
        <v>2.8250000000000001E-2</v>
      </c>
      <c r="BL17" s="855">
        <f>IF(ISBLANK(Tb_Fuel38[[#This Row],[Override5]]),Tb_Fuel38[[#This Row],[France - Gas]],Tb_Fuel38[[#This Row],[Override5]])</f>
        <v>2.8250000000000001E-2</v>
      </c>
      <c r="BM17" s="855">
        <f>IF(ISBLANK(Tb_Fuel38[[#This Row],[Override6]]),Tb_Fuel38[[#This Row],[Spain - Gas]],Tb_Fuel38[[#This Row],[Override6]])</f>
        <v>2.8250000000000001E-2</v>
      </c>
      <c r="BN17" s="855">
        <f>IF(ISBLANK(Tb_Fuel38[[#This Row],[Override7]]),Tb_Fuel38[[#This Row],[Algeria - Gas]],Tb_Fuel38[[#This Row],[Override7]])</f>
        <v>3.0000000000000001E-3</v>
      </c>
      <c r="BO17" s="855">
        <f>IF(ISBLANK(Tb_Fuel38[[#This Row],[Override8]]),Tb_Fuel38[[#This Row],[Norway - Gas]],Tb_Fuel38[[#This Row],[Override8]])</f>
        <v>8.0000000000000002E-3</v>
      </c>
      <c r="BP17" s="855">
        <f>IF(ISBLANK(Tb_Fuel38[[#This Row],[Override9]]),Tb_Fuel38[[#This Row],[Qatar - Gas]],Tb_Fuel38[[#This Row],[Override9]])</f>
        <v>4.0000000000000001E-3</v>
      </c>
      <c r="BQ17" s="855">
        <f>IF(ISBLANK(Tb_Fuel38[[#This Row],[Override10]]),Tb_Fuel38[[#This Row],[Germany - CO2 Price]],Tb_Fuel38[[#This Row],[Override10]])</f>
        <v>118.37321383275555</v>
      </c>
      <c r="BR17" s="855">
        <f>IF(ISBLANK(Tb_Fuel38[[#This Row],[Override11]]),Tb_Fuel38[[#This Row],[France - CO2 Price]],Tb_Fuel38[[#This Row],[Override11]])</f>
        <v>118.37321383275555</v>
      </c>
      <c r="BS17" s="855">
        <f>IF(ISBLANK(Tb_Fuel38[[#This Row],[Override12]]),Tb_Fuel38[[#This Row],[Spain - CO2 Price]],Tb_Fuel38[[#This Row],[Override12]])</f>
        <v>118.37321383275555</v>
      </c>
      <c r="BT17" s="855">
        <f>IF(ISBLANK(Tb_Fuel38[[#This Row],[Override13]]),Tb_Fuel38[[#This Row],[Algeria - CO2 Price]],Tb_Fuel38[[#This Row],[Override13]])</f>
        <v>0</v>
      </c>
      <c r="BU17" s="855">
        <f>IF(ISBLANK(Tb_Fuel38[[#This Row],[Override14]]),Tb_Fuel38[[#This Row],[Norway - CO2 Price]],Tb_Fuel38[[#This Row],[Override14]])</f>
        <v>118.37321383275555</v>
      </c>
      <c r="BV17" s="855">
        <f>IF(ISBLANK(Tb_Fuel38[[#This Row],[Override15]]),Tb_Fuel38[[#This Row],[Qatar - CO2 Price]],Tb_Fuel38[[#This Row],[Override15]])</f>
        <v>0</v>
      </c>
      <c r="BW17" s="855">
        <f>IF(ISBLANK(Tb_Fuel38[[#This Row],[Override16]]),Tb_Fuel38[[#This Row],[Global - Diesel]],Tb_Fuel38[[#This Row],[Override16]])</f>
        <v>1.3</v>
      </c>
      <c r="BX17" s="855">
        <f>IF(ISBLANK(Tb_Fuel38[[#This Row],[Override17]]),Tb_Fuel38[[#This Row],[Global - HFO]],Tb_Fuel38[[#This Row],[Override17]])</f>
        <v>1.0113910956318826E-2</v>
      </c>
    </row>
    <row r="18" spans="1:76">
      <c r="A18" s="107">
        <v>2035</v>
      </c>
      <c r="B18" s="113">
        <f t="shared" si="3"/>
        <v>0.107</v>
      </c>
      <c r="C18" s="857"/>
      <c r="D18" s="113">
        <f t="shared" si="4"/>
        <v>9.5000000000000001E-2</v>
      </c>
      <c r="E18" s="857"/>
      <c r="F18" s="113">
        <f t="shared" si="15"/>
        <v>0.11</v>
      </c>
      <c r="G18" s="857"/>
      <c r="H18" s="113"/>
      <c r="I18" s="857"/>
      <c r="J18" s="113"/>
      <c r="K18" s="857"/>
      <c r="L18" s="113"/>
      <c r="M18" s="857"/>
      <c r="N18" s="113"/>
      <c r="O18" s="857"/>
      <c r="P18" s="113"/>
      <c r="Q18" s="857"/>
      <c r="R18" s="113"/>
      <c r="S18" s="857"/>
      <c r="T18" s="113">
        <f t="shared" si="5"/>
        <v>2.8250000000000001E-2</v>
      </c>
      <c r="U18" s="857"/>
      <c r="V18" s="113">
        <f t="shared" si="6"/>
        <v>2.8250000000000001E-2</v>
      </c>
      <c r="W18" s="857"/>
      <c r="X18" s="113">
        <f t="shared" si="7"/>
        <v>2.8250000000000001E-2</v>
      </c>
      <c r="Y18" s="857"/>
      <c r="Z18" s="113">
        <f t="shared" si="8"/>
        <v>3.0000000000000001E-3</v>
      </c>
      <c r="AA18" s="857"/>
      <c r="AB18" s="113">
        <f t="shared" si="9"/>
        <v>8.0000000000000002E-3</v>
      </c>
      <c r="AC18" s="857"/>
      <c r="AD18" s="113">
        <f t="shared" si="10"/>
        <v>4.0000000000000001E-3</v>
      </c>
      <c r="AE18" s="857"/>
      <c r="AF18" s="113">
        <f>($AF$23-$AF$13)*(Tb_Fuel38[[#This Row],[Year]]-$A$13)/($A$23-$A$13)+$AF$13</f>
        <v>122.60082861249683</v>
      </c>
      <c r="AG18" s="857"/>
      <c r="AH18" s="113">
        <f>($AF$23-$AF$13)*(Tb_Fuel38[[#This Row],[Year]]-$A$13)/($A$23-$A$13)+$AF$13</f>
        <v>122.60082861249683</v>
      </c>
      <c r="AI18" s="857"/>
      <c r="AJ18" s="113">
        <f>($AF$23-$AF$13)*(Tb_Fuel38[[#This Row],[Year]]-$A$13)/($A$23-$A$13)+$AF$13</f>
        <v>122.60082861249683</v>
      </c>
      <c r="AK18" s="857"/>
      <c r="AL18" s="113">
        <f t="shared" si="11"/>
        <v>0</v>
      </c>
      <c r="AM18" s="857"/>
      <c r="AN18" s="113">
        <f>($AF$23-$AF$13)*(Tb_Fuel38[[#This Row],[Year]]-$A$13)/($A$23-$A$13)+$AF$13</f>
        <v>122.60082861249683</v>
      </c>
      <c r="AO18" s="857"/>
      <c r="AP18" s="113">
        <f t="shared" si="12"/>
        <v>0</v>
      </c>
      <c r="AQ18" s="857"/>
      <c r="AR18" s="113">
        <f t="shared" si="13"/>
        <v>1.3</v>
      </c>
      <c r="AS18" s="857"/>
      <c r="AT18" s="113">
        <f t="shared" si="14"/>
        <v>1.0113910956318826E-2</v>
      </c>
      <c r="AU18" s="859"/>
      <c r="BA18" s="854">
        <v>2035</v>
      </c>
      <c r="BB18" s="855">
        <f>IF(ISBLANK(Tb_Fuel38[[#This Row],[Override]]),Tb_Fuel38[[#This Row],[Germany - Grid]],Tb_Fuel38[[#This Row],[Override]])</f>
        <v>0.107</v>
      </c>
      <c r="BC18" s="855">
        <f>IF(ISBLANK(Tb_Fuel38[[#This Row],[Override2]]),Tb_Fuel38[[#This Row],[France - Grid]],Tb_Fuel38[[#This Row],[Override2]])</f>
        <v>9.5000000000000001E-2</v>
      </c>
      <c r="BD18" s="855">
        <f>IF(ISBLANK(Tb_Fuel38[[#This Row],[Override3]]),Tb_Fuel38[[#This Row],[Spain - Grid]],Tb_Fuel38[[#This Row],[Override3]])</f>
        <v>0.11</v>
      </c>
      <c r="BE18" s="855">
        <f>IF(ISBLANK(Tb_Fuel38[[#This Row],[Override18]]),Tb_Fuel38[[#This Row],[Germany - Feed-in electricity price]],Tb_Fuel38[[#This Row],[Override18]])</f>
        <v>0</v>
      </c>
      <c r="BF18" s="855">
        <f>IF(ISBLANK(Tb_Fuel38[[#This Row],[Override220]]),Tb_Fuel38[[#This Row],[France - Feed-in electricity price]],Tb_Fuel38[[#This Row],[Override220]])</f>
        <v>0</v>
      </c>
      <c r="BG18" s="855">
        <f>IF(ISBLANK(Tb_Fuel38[[#This Row],[Override322]]),Tb_Fuel38[[#This Row],[Spain - Feed-in electricity price]],Tb_Fuel38[[#This Row],[Override322]])</f>
        <v>0</v>
      </c>
      <c r="BH18" s="855">
        <f>IF(ISBLANK(Tb_Fuel38[[#This Row],[Override183]]),Tb_Fuel38[[#This Row],[Norway - Feed-in electricity price]],Tb_Fuel38[[#This Row],[Override183]])</f>
        <v>0</v>
      </c>
      <c r="BI18" s="855">
        <f>IF(ISBLANK(Tb_Fuel38[[#This Row],[Override2205]]),Tb_Fuel38[[#This Row],[Qatar - Feed-in electricity price]],Tb_Fuel38[[#This Row],[Override2205]])</f>
        <v>0</v>
      </c>
      <c r="BJ18" s="855">
        <f>IF(ISBLANK(Tb_Fuel38[[#This Row],[Override3227]]),Tb_Fuel38[[#This Row],[Algeria - Feed-in electricity price]],Tb_Fuel38[[#This Row],[Override3227]])</f>
        <v>0</v>
      </c>
      <c r="BK18" s="855">
        <f>IF(ISBLANK(Tb_Fuel38[[#This Row],[Override4]]),Tb_Fuel38[[#This Row],[Germany - Gas]],Tb_Fuel38[[#This Row],[Override4]])</f>
        <v>2.8250000000000001E-2</v>
      </c>
      <c r="BL18" s="855">
        <f>IF(ISBLANK(Tb_Fuel38[[#This Row],[Override5]]),Tb_Fuel38[[#This Row],[France - Gas]],Tb_Fuel38[[#This Row],[Override5]])</f>
        <v>2.8250000000000001E-2</v>
      </c>
      <c r="BM18" s="855">
        <f>IF(ISBLANK(Tb_Fuel38[[#This Row],[Override6]]),Tb_Fuel38[[#This Row],[Spain - Gas]],Tb_Fuel38[[#This Row],[Override6]])</f>
        <v>2.8250000000000001E-2</v>
      </c>
      <c r="BN18" s="855">
        <f>IF(ISBLANK(Tb_Fuel38[[#This Row],[Override7]]),Tb_Fuel38[[#This Row],[Algeria - Gas]],Tb_Fuel38[[#This Row],[Override7]])</f>
        <v>3.0000000000000001E-3</v>
      </c>
      <c r="BO18" s="855">
        <f>IF(ISBLANK(Tb_Fuel38[[#This Row],[Override8]]),Tb_Fuel38[[#This Row],[Norway - Gas]],Tb_Fuel38[[#This Row],[Override8]])</f>
        <v>8.0000000000000002E-3</v>
      </c>
      <c r="BP18" s="855">
        <f>IF(ISBLANK(Tb_Fuel38[[#This Row],[Override9]]),Tb_Fuel38[[#This Row],[Qatar - Gas]],Tb_Fuel38[[#This Row],[Override9]])</f>
        <v>4.0000000000000001E-3</v>
      </c>
      <c r="BQ18" s="855">
        <f>IF(ISBLANK(Tb_Fuel38[[#This Row],[Override10]]),Tb_Fuel38[[#This Row],[Germany - CO2 Price]],Tb_Fuel38[[#This Row],[Override10]])</f>
        <v>122.60082861249683</v>
      </c>
      <c r="BR18" s="855">
        <f>IF(ISBLANK(Tb_Fuel38[[#This Row],[Override11]]),Tb_Fuel38[[#This Row],[France - CO2 Price]],Tb_Fuel38[[#This Row],[Override11]])</f>
        <v>122.60082861249683</v>
      </c>
      <c r="BS18" s="855">
        <f>IF(ISBLANK(Tb_Fuel38[[#This Row],[Override12]]),Tb_Fuel38[[#This Row],[Spain - CO2 Price]],Tb_Fuel38[[#This Row],[Override12]])</f>
        <v>122.60082861249683</v>
      </c>
      <c r="BT18" s="855">
        <f>IF(ISBLANK(Tb_Fuel38[[#This Row],[Override13]]),Tb_Fuel38[[#This Row],[Algeria - CO2 Price]],Tb_Fuel38[[#This Row],[Override13]])</f>
        <v>0</v>
      </c>
      <c r="BU18" s="855">
        <f>IF(ISBLANK(Tb_Fuel38[[#This Row],[Override14]]),Tb_Fuel38[[#This Row],[Norway - CO2 Price]],Tb_Fuel38[[#This Row],[Override14]])</f>
        <v>122.60082861249683</v>
      </c>
      <c r="BV18" s="855">
        <f>IF(ISBLANK(Tb_Fuel38[[#This Row],[Override15]]),Tb_Fuel38[[#This Row],[Qatar - CO2 Price]],Tb_Fuel38[[#This Row],[Override15]])</f>
        <v>0</v>
      </c>
      <c r="BW18" s="855">
        <f>IF(ISBLANK(Tb_Fuel38[[#This Row],[Override16]]),Tb_Fuel38[[#This Row],[Global - Diesel]],Tb_Fuel38[[#This Row],[Override16]])</f>
        <v>1.3</v>
      </c>
      <c r="BX18" s="855">
        <f>IF(ISBLANK(Tb_Fuel38[[#This Row],[Override17]]),Tb_Fuel38[[#This Row],[Global - HFO]],Tb_Fuel38[[#This Row],[Override17]])</f>
        <v>1.0113910956318826E-2</v>
      </c>
    </row>
    <row r="19" spans="1:76">
      <c r="A19" s="107">
        <v>2036</v>
      </c>
      <c r="B19" s="113">
        <f t="shared" si="3"/>
        <v>0.107</v>
      </c>
      <c r="C19" s="857"/>
      <c r="D19" s="113">
        <f t="shared" si="4"/>
        <v>9.5000000000000001E-2</v>
      </c>
      <c r="E19" s="857"/>
      <c r="F19" s="113">
        <f t="shared" si="15"/>
        <v>0.11</v>
      </c>
      <c r="G19" s="857"/>
      <c r="H19" s="113"/>
      <c r="I19" s="857"/>
      <c r="J19" s="113"/>
      <c r="K19" s="857"/>
      <c r="L19" s="113"/>
      <c r="M19" s="857"/>
      <c r="N19" s="113"/>
      <c r="O19" s="857"/>
      <c r="P19" s="113"/>
      <c r="Q19" s="857"/>
      <c r="R19" s="113"/>
      <c r="S19" s="857"/>
      <c r="T19" s="113">
        <f t="shared" si="5"/>
        <v>2.8250000000000001E-2</v>
      </c>
      <c r="U19" s="857"/>
      <c r="V19" s="113">
        <f t="shared" si="6"/>
        <v>2.8250000000000001E-2</v>
      </c>
      <c r="W19" s="857"/>
      <c r="X19" s="113">
        <f t="shared" si="7"/>
        <v>2.8250000000000001E-2</v>
      </c>
      <c r="Y19" s="857"/>
      <c r="Z19" s="113">
        <f t="shared" si="8"/>
        <v>3.0000000000000001E-3</v>
      </c>
      <c r="AA19" s="857"/>
      <c r="AB19" s="113">
        <f t="shared" si="9"/>
        <v>8.0000000000000002E-3</v>
      </c>
      <c r="AC19" s="857"/>
      <c r="AD19" s="113">
        <f t="shared" si="10"/>
        <v>4.0000000000000001E-3</v>
      </c>
      <c r="AE19" s="857"/>
      <c r="AF19" s="113">
        <f>($AF$23-$AF$13)*(Tb_Fuel38[[#This Row],[Year]]-$A$13)/($A$23-$A$13)+$AF$13</f>
        <v>126.8284433922381</v>
      </c>
      <c r="AG19" s="857"/>
      <c r="AH19" s="113">
        <f>($AF$23-$AF$13)*(Tb_Fuel38[[#This Row],[Year]]-$A$13)/($A$23-$A$13)+$AF$13</f>
        <v>126.8284433922381</v>
      </c>
      <c r="AI19" s="857"/>
      <c r="AJ19" s="113">
        <f>($AF$23-$AF$13)*(Tb_Fuel38[[#This Row],[Year]]-$A$13)/($A$23-$A$13)+$AF$13</f>
        <v>126.8284433922381</v>
      </c>
      <c r="AK19" s="857"/>
      <c r="AL19" s="113">
        <f t="shared" si="11"/>
        <v>0</v>
      </c>
      <c r="AM19" s="857"/>
      <c r="AN19" s="113">
        <f>($AF$23-$AF$13)*(Tb_Fuel38[[#This Row],[Year]]-$A$13)/($A$23-$A$13)+$AF$13</f>
        <v>126.8284433922381</v>
      </c>
      <c r="AO19" s="857"/>
      <c r="AP19" s="113">
        <f t="shared" si="12"/>
        <v>0</v>
      </c>
      <c r="AQ19" s="857"/>
      <c r="AR19" s="113">
        <f t="shared" si="13"/>
        <v>1.3</v>
      </c>
      <c r="AS19" s="857"/>
      <c r="AT19" s="113">
        <f t="shared" si="14"/>
        <v>1.0113910956318826E-2</v>
      </c>
      <c r="AU19" s="859"/>
      <c r="BA19" s="854">
        <v>2036</v>
      </c>
      <c r="BB19" s="855">
        <f>IF(ISBLANK(Tb_Fuel38[[#This Row],[Override]]),Tb_Fuel38[[#This Row],[Germany - Grid]],Tb_Fuel38[[#This Row],[Override]])</f>
        <v>0.107</v>
      </c>
      <c r="BC19" s="855">
        <f>IF(ISBLANK(Tb_Fuel38[[#This Row],[Override2]]),Tb_Fuel38[[#This Row],[France - Grid]],Tb_Fuel38[[#This Row],[Override2]])</f>
        <v>9.5000000000000001E-2</v>
      </c>
      <c r="BD19" s="855">
        <f>IF(ISBLANK(Tb_Fuel38[[#This Row],[Override3]]),Tb_Fuel38[[#This Row],[Spain - Grid]],Tb_Fuel38[[#This Row],[Override3]])</f>
        <v>0.11</v>
      </c>
      <c r="BE19" s="855">
        <f>IF(ISBLANK(Tb_Fuel38[[#This Row],[Override18]]),Tb_Fuel38[[#This Row],[Germany - Feed-in electricity price]],Tb_Fuel38[[#This Row],[Override18]])</f>
        <v>0</v>
      </c>
      <c r="BF19" s="855">
        <f>IF(ISBLANK(Tb_Fuel38[[#This Row],[Override220]]),Tb_Fuel38[[#This Row],[France - Feed-in electricity price]],Tb_Fuel38[[#This Row],[Override220]])</f>
        <v>0</v>
      </c>
      <c r="BG19" s="855">
        <f>IF(ISBLANK(Tb_Fuel38[[#This Row],[Override322]]),Tb_Fuel38[[#This Row],[Spain - Feed-in electricity price]],Tb_Fuel38[[#This Row],[Override322]])</f>
        <v>0</v>
      </c>
      <c r="BH19" s="855">
        <f>IF(ISBLANK(Tb_Fuel38[[#This Row],[Override183]]),Tb_Fuel38[[#This Row],[Norway - Feed-in electricity price]],Tb_Fuel38[[#This Row],[Override183]])</f>
        <v>0</v>
      </c>
      <c r="BI19" s="855">
        <f>IF(ISBLANK(Tb_Fuel38[[#This Row],[Override2205]]),Tb_Fuel38[[#This Row],[Qatar - Feed-in electricity price]],Tb_Fuel38[[#This Row],[Override2205]])</f>
        <v>0</v>
      </c>
      <c r="BJ19" s="855">
        <f>IF(ISBLANK(Tb_Fuel38[[#This Row],[Override3227]]),Tb_Fuel38[[#This Row],[Algeria - Feed-in electricity price]],Tb_Fuel38[[#This Row],[Override3227]])</f>
        <v>0</v>
      </c>
      <c r="BK19" s="855">
        <f>IF(ISBLANK(Tb_Fuel38[[#This Row],[Override4]]),Tb_Fuel38[[#This Row],[Germany - Gas]],Tb_Fuel38[[#This Row],[Override4]])</f>
        <v>2.8250000000000001E-2</v>
      </c>
      <c r="BL19" s="855">
        <f>IF(ISBLANK(Tb_Fuel38[[#This Row],[Override5]]),Tb_Fuel38[[#This Row],[France - Gas]],Tb_Fuel38[[#This Row],[Override5]])</f>
        <v>2.8250000000000001E-2</v>
      </c>
      <c r="BM19" s="855">
        <f>IF(ISBLANK(Tb_Fuel38[[#This Row],[Override6]]),Tb_Fuel38[[#This Row],[Spain - Gas]],Tb_Fuel38[[#This Row],[Override6]])</f>
        <v>2.8250000000000001E-2</v>
      </c>
      <c r="BN19" s="855">
        <f>IF(ISBLANK(Tb_Fuel38[[#This Row],[Override7]]),Tb_Fuel38[[#This Row],[Algeria - Gas]],Tb_Fuel38[[#This Row],[Override7]])</f>
        <v>3.0000000000000001E-3</v>
      </c>
      <c r="BO19" s="855">
        <f>IF(ISBLANK(Tb_Fuel38[[#This Row],[Override8]]),Tb_Fuel38[[#This Row],[Norway - Gas]],Tb_Fuel38[[#This Row],[Override8]])</f>
        <v>8.0000000000000002E-3</v>
      </c>
      <c r="BP19" s="855">
        <f>IF(ISBLANK(Tb_Fuel38[[#This Row],[Override9]]),Tb_Fuel38[[#This Row],[Qatar - Gas]],Tb_Fuel38[[#This Row],[Override9]])</f>
        <v>4.0000000000000001E-3</v>
      </c>
      <c r="BQ19" s="855">
        <f>IF(ISBLANK(Tb_Fuel38[[#This Row],[Override10]]),Tb_Fuel38[[#This Row],[Germany - CO2 Price]],Tb_Fuel38[[#This Row],[Override10]])</f>
        <v>126.8284433922381</v>
      </c>
      <c r="BR19" s="855">
        <f>IF(ISBLANK(Tb_Fuel38[[#This Row],[Override11]]),Tb_Fuel38[[#This Row],[France - CO2 Price]],Tb_Fuel38[[#This Row],[Override11]])</f>
        <v>126.8284433922381</v>
      </c>
      <c r="BS19" s="855">
        <f>IF(ISBLANK(Tb_Fuel38[[#This Row],[Override12]]),Tb_Fuel38[[#This Row],[Spain - CO2 Price]],Tb_Fuel38[[#This Row],[Override12]])</f>
        <v>126.8284433922381</v>
      </c>
      <c r="BT19" s="855">
        <f>IF(ISBLANK(Tb_Fuel38[[#This Row],[Override13]]),Tb_Fuel38[[#This Row],[Algeria - CO2 Price]],Tb_Fuel38[[#This Row],[Override13]])</f>
        <v>0</v>
      </c>
      <c r="BU19" s="855">
        <f>IF(ISBLANK(Tb_Fuel38[[#This Row],[Override14]]),Tb_Fuel38[[#This Row],[Norway - CO2 Price]],Tb_Fuel38[[#This Row],[Override14]])</f>
        <v>126.8284433922381</v>
      </c>
      <c r="BV19" s="855">
        <f>IF(ISBLANK(Tb_Fuel38[[#This Row],[Override15]]),Tb_Fuel38[[#This Row],[Qatar - CO2 Price]],Tb_Fuel38[[#This Row],[Override15]])</f>
        <v>0</v>
      </c>
      <c r="BW19" s="855">
        <f>IF(ISBLANK(Tb_Fuel38[[#This Row],[Override16]]),Tb_Fuel38[[#This Row],[Global - Diesel]],Tb_Fuel38[[#This Row],[Override16]])</f>
        <v>1.3</v>
      </c>
      <c r="BX19" s="855">
        <f>IF(ISBLANK(Tb_Fuel38[[#This Row],[Override17]]),Tb_Fuel38[[#This Row],[Global - HFO]],Tb_Fuel38[[#This Row],[Override17]])</f>
        <v>1.0113910956318826E-2</v>
      </c>
    </row>
    <row r="20" spans="1:76">
      <c r="A20" s="107">
        <v>2037</v>
      </c>
      <c r="B20" s="113">
        <f t="shared" si="3"/>
        <v>0.107</v>
      </c>
      <c r="C20" s="857"/>
      <c r="D20" s="113">
        <f t="shared" si="4"/>
        <v>9.5000000000000001E-2</v>
      </c>
      <c r="E20" s="857"/>
      <c r="F20" s="113">
        <f t="shared" si="15"/>
        <v>0.11</v>
      </c>
      <c r="G20" s="857"/>
      <c r="H20" s="113"/>
      <c r="I20" s="857"/>
      <c r="J20" s="113"/>
      <c r="K20" s="857"/>
      <c r="L20" s="113"/>
      <c r="M20" s="857"/>
      <c r="N20" s="113"/>
      <c r="O20" s="857"/>
      <c r="P20" s="113"/>
      <c r="Q20" s="857"/>
      <c r="R20" s="113"/>
      <c r="S20" s="857"/>
      <c r="T20" s="113">
        <f t="shared" si="5"/>
        <v>2.8250000000000001E-2</v>
      </c>
      <c r="U20" s="857"/>
      <c r="V20" s="113">
        <f t="shared" si="6"/>
        <v>2.8250000000000001E-2</v>
      </c>
      <c r="W20" s="857"/>
      <c r="X20" s="113">
        <f t="shared" si="7"/>
        <v>2.8250000000000001E-2</v>
      </c>
      <c r="Y20" s="857"/>
      <c r="Z20" s="113">
        <f t="shared" si="8"/>
        <v>3.0000000000000001E-3</v>
      </c>
      <c r="AA20" s="857"/>
      <c r="AB20" s="113">
        <f t="shared" si="9"/>
        <v>8.0000000000000002E-3</v>
      </c>
      <c r="AC20" s="857"/>
      <c r="AD20" s="113">
        <f t="shared" si="10"/>
        <v>4.0000000000000001E-3</v>
      </c>
      <c r="AE20" s="857"/>
      <c r="AF20" s="113">
        <f>($AF$23-$AF$13)*(Tb_Fuel38[[#This Row],[Year]]-$A$13)/($A$23-$A$13)+$AF$13</f>
        <v>131.05605817197937</v>
      </c>
      <c r="AG20" s="857"/>
      <c r="AH20" s="113">
        <f>($AF$23-$AF$13)*(Tb_Fuel38[[#This Row],[Year]]-$A$13)/($A$23-$A$13)+$AF$13</f>
        <v>131.05605817197937</v>
      </c>
      <c r="AI20" s="857"/>
      <c r="AJ20" s="113">
        <f>($AF$23-$AF$13)*(Tb_Fuel38[[#This Row],[Year]]-$A$13)/($A$23-$A$13)+$AF$13</f>
        <v>131.05605817197937</v>
      </c>
      <c r="AK20" s="857"/>
      <c r="AL20" s="113">
        <f t="shared" si="11"/>
        <v>0</v>
      </c>
      <c r="AM20" s="857"/>
      <c r="AN20" s="113">
        <f>($AF$23-$AF$13)*(Tb_Fuel38[[#This Row],[Year]]-$A$13)/($A$23-$A$13)+$AF$13</f>
        <v>131.05605817197937</v>
      </c>
      <c r="AO20" s="857"/>
      <c r="AP20" s="113">
        <f t="shared" si="12"/>
        <v>0</v>
      </c>
      <c r="AQ20" s="857"/>
      <c r="AR20" s="113">
        <f t="shared" si="13"/>
        <v>1.3</v>
      </c>
      <c r="AS20" s="857"/>
      <c r="AT20" s="113">
        <f t="shared" si="14"/>
        <v>1.0113910956318826E-2</v>
      </c>
      <c r="AU20" s="859"/>
      <c r="BA20" s="854">
        <v>2037</v>
      </c>
      <c r="BB20" s="855">
        <f>IF(ISBLANK(Tb_Fuel38[[#This Row],[Override]]),Tb_Fuel38[[#This Row],[Germany - Grid]],Tb_Fuel38[[#This Row],[Override]])</f>
        <v>0.107</v>
      </c>
      <c r="BC20" s="855">
        <f>IF(ISBLANK(Tb_Fuel38[[#This Row],[Override2]]),Tb_Fuel38[[#This Row],[France - Grid]],Tb_Fuel38[[#This Row],[Override2]])</f>
        <v>9.5000000000000001E-2</v>
      </c>
      <c r="BD20" s="855">
        <f>IF(ISBLANK(Tb_Fuel38[[#This Row],[Override3]]),Tb_Fuel38[[#This Row],[Spain - Grid]],Tb_Fuel38[[#This Row],[Override3]])</f>
        <v>0.11</v>
      </c>
      <c r="BE20" s="855">
        <f>IF(ISBLANK(Tb_Fuel38[[#This Row],[Override18]]),Tb_Fuel38[[#This Row],[Germany - Feed-in electricity price]],Tb_Fuel38[[#This Row],[Override18]])</f>
        <v>0</v>
      </c>
      <c r="BF20" s="855">
        <f>IF(ISBLANK(Tb_Fuel38[[#This Row],[Override220]]),Tb_Fuel38[[#This Row],[France - Feed-in electricity price]],Tb_Fuel38[[#This Row],[Override220]])</f>
        <v>0</v>
      </c>
      <c r="BG20" s="855">
        <f>IF(ISBLANK(Tb_Fuel38[[#This Row],[Override322]]),Tb_Fuel38[[#This Row],[Spain - Feed-in electricity price]],Tb_Fuel38[[#This Row],[Override322]])</f>
        <v>0</v>
      </c>
      <c r="BH20" s="855">
        <f>IF(ISBLANK(Tb_Fuel38[[#This Row],[Override183]]),Tb_Fuel38[[#This Row],[Norway - Feed-in electricity price]],Tb_Fuel38[[#This Row],[Override183]])</f>
        <v>0</v>
      </c>
      <c r="BI20" s="855">
        <f>IF(ISBLANK(Tb_Fuel38[[#This Row],[Override2205]]),Tb_Fuel38[[#This Row],[Qatar - Feed-in electricity price]],Tb_Fuel38[[#This Row],[Override2205]])</f>
        <v>0</v>
      </c>
      <c r="BJ20" s="855">
        <f>IF(ISBLANK(Tb_Fuel38[[#This Row],[Override3227]]),Tb_Fuel38[[#This Row],[Algeria - Feed-in electricity price]],Tb_Fuel38[[#This Row],[Override3227]])</f>
        <v>0</v>
      </c>
      <c r="BK20" s="855">
        <f>IF(ISBLANK(Tb_Fuel38[[#This Row],[Override4]]),Tb_Fuel38[[#This Row],[Germany - Gas]],Tb_Fuel38[[#This Row],[Override4]])</f>
        <v>2.8250000000000001E-2</v>
      </c>
      <c r="BL20" s="855">
        <f>IF(ISBLANK(Tb_Fuel38[[#This Row],[Override5]]),Tb_Fuel38[[#This Row],[France - Gas]],Tb_Fuel38[[#This Row],[Override5]])</f>
        <v>2.8250000000000001E-2</v>
      </c>
      <c r="BM20" s="855">
        <f>IF(ISBLANK(Tb_Fuel38[[#This Row],[Override6]]),Tb_Fuel38[[#This Row],[Spain - Gas]],Tb_Fuel38[[#This Row],[Override6]])</f>
        <v>2.8250000000000001E-2</v>
      </c>
      <c r="BN20" s="855">
        <f>IF(ISBLANK(Tb_Fuel38[[#This Row],[Override7]]),Tb_Fuel38[[#This Row],[Algeria - Gas]],Tb_Fuel38[[#This Row],[Override7]])</f>
        <v>3.0000000000000001E-3</v>
      </c>
      <c r="BO20" s="855">
        <f>IF(ISBLANK(Tb_Fuel38[[#This Row],[Override8]]),Tb_Fuel38[[#This Row],[Norway - Gas]],Tb_Fuel38[[#This Row],[Override8]])</f>
        <v>8.0000000000000002E-3</v>
      </c>
      <c r="BP20" s="855">
        <f>IF(ISBLANK(Tb_Fuel38[[#This Row],[Override9]]),Tb_Fuel38[[#This Row],[Qatar - Gas]],Tb_Fuel38[[#This Row],[Override9]])</f>
        <v>4.0000000000000001E-3</v>
      </c>
      <c r="BQ20" s="855">
        <f>IF(ISBLANK(Tb_Fuel38[[#This Row],[Override10]]),Tb_Fuel38[[#This Row],[Germany - CO2 Price]],Tb_Fuel38[[#This Row],[Override10]])</f>
        <v>131.05605817197937</v>
      </c>
      <c r="BR20" s="855">
        <f>IF(ISBLANK(Tb_Fuel38[[#This Row],[Override11]]),Tb_Fuel38[[#This Row],[France - CO2 Price]],Tb_Fuel38[[#This Row],[Override11]])</f>
        <v>131.05605817197937</v>
      </c>
      <c r="BS20" s="855">
        <f>IF(ISBLANK(Tb_Fuel38[[#This Row],[Override12]]),Tb_Fuel38[[#This Row],[Spain - CO2 Price]],Tb_Fuel38[[#This Row],[Override12]])</f>
        <v>131.05605817197937</v>
      </c>
      <c r="BT20" s="855">
        <f>IF(ISBLANK(Tb_Fuel38[[#This Row],[Override13]]),Tb_Fuel38[[#This Row],[Algeria - CO2 Price]],Tb_Fuel38[[#This Row],[Override13]])</f>
        <v>0</v>
      </c>
      <c r="BU20" s="855">
        <f>IF(ISBLANK(Tb_Fuel38[[#This Row],[Override14]]),Tb_Fuel38[[#This Row],[Norway - CO2 Price]],Tb_Fuel38[[#This Row],[Override14]])</f>
        <v>131.05605817197937</v>
      </c>
      <c r="BV20" s="855">
        <f>IF(ISBLANK(Tb_Fuel38[[#This Row],[Override15]]),Tb_Fuel38[[#This Row],[Qatar - CO2 Price]],Tb_Fuel38[[#This Row],[Override15]])</f>
        <v>0</v>
      </c>
      <c r="BW20" s="855">
        <f>IF(ISBLANK(Tb_Fuel38[[#This Row],[Override16]]),Tb_Fuel38[[#This Row],[Global - Diesel]],Tb_Fuel38[[#This Row],[Override16]])</f>
        <v>1.3</v>
      </c>
      <c r="BX20" s="855">
        <f>IF(ISBLANK(Tb_Fuel38[[#This Row],[Override17]]),Tb_Fuel38[[#This Row],[Global - HFO]],Tb_Fuel38[[#This Row],[Override17]])</f>
        <v>1.0113910956318826E-2</v>
      </c>
    </row>
    <row r="21" spans="1:76">
      <c r="A21" s="107">
        <v>2038</v>
      </c>
      <c r="B21" s="113">
        <f t="shared" si="3"/>
        <v>0.107</v>
      </c>
      <c r="C21" s="857"/>
      <c r="D21" s="113">
        <f t="shared" si="4"/>
        <v>9.5000000000000001E-2</v>
      </c>
      <c r="E21" s="857"/>
      <c r="F21" s="113">
        <f t="shared" si="15"/>
        <v>0.11</v>
      </c>
      <c r="G21" s="857"/>
      <c r="H21" s="113"/>
      <c r="I21" s="857"/>
      <c r="J21" s="113"/>
      <c r="K21" s="857"/>
      <c r="L21" s="113"/>
      <c r="M21" s="857"/>
      <c r="N21" s="113"/>
      <c r="O21" s="857"/>
      <c r="P21" s="113"/>
      <c r="Q21" s="857"/>
      <c r="R21" s="113"/>
      <c r="S21" s="857"/>
      <c r="T21" s="113">
        <f t="shared" si="5"/>
        <v>2.8250000000000001E-2</v>
      </c>
      <c r="U21" s="857"/>
      <c r="V21" s="113">
        <f t="shared" si="6"/>
        <v>2.8250000000000001E-2</v>
      </c>
      <c r="W21" s="857"/>
      <c r="X21" s="113">
        <f t="shared" si="7"/>
        <v>2.8250000000000001E-2</v>
      </c>
      <c r="Y21" s="857"/>
      <c r="Z21" s="113">
        <f t="shared" si="8"/>
        <v>3.0000000000000001E-3</v>
      </c>
      <c r="AA21" s="857"/>
      <c r="AB21" s="113">
        <f t="shared" si="9"/>
        <v>8.0000000000000002E-3</v>
      </c>
      <c r="AC21" s="857"/>
      <c r="AD21" s="113">
        <f t="shared" si="10"/>
        <v>4.0000000000000001E-3</v>
      </c>
      <c r="AE21" s="857"/>
      <c r="AF21" s="113">
        <f>($AF$23-$AF$13)*(Tb_Fuel38[[#This Row],[Year]]-$A$13)/($A$23-$A$13)+$AF$13</f>
        <v>135.28367295172063</v>
      </c>
      <c r="AG21" s="857"/>
      <c r="AH21" s="113">
        <f>($AF$23-$AF$13)*(Tb_Fuel38[[#This Row],[Year]]-$A$13)/($A$23-$A$13)+$AF$13</f>
        <v>135.28367295172063</v>
      </c>
      <c r="AI21" s="857"/>
      <c r="AJ21" s="113">
        <f>($AF$23-$AF$13)*(Tb_Fuel38[[#This Row],[Year]]-$A$13)/($A$23-$A$13)+$AF$13</f>
        <v>135.28367295172063</v>
      </c>
      <c r="AK21" s="857"/>
      <c r="AL21" s="113">
        <f t="shared" si="11"/>
        <v>0</v>
      </c>
      <c r="AM21" s="857"/>
      <c r="AN21" s="113">
        <f>($AF$23-$AF$13)*(Tb_Fuel38[[#This Row],[Year]]-$A$13)/($A$23-$A$13)+$AF$13</f>
        <v>135.28367295172063</v>
      </c>
      <c r="AO21" s="857"/>
      <c r="AP21" s="113">
        <f t="shared" si="12"/>
        <v>0</v>
      </c>
      <c r="AQ21" s="857"/>
      <c r="AR21" s="113">
        <f t="shared" si="13"/>
        <v>1.3</v>
      </c>
      <c r="AS21" s="857"/>
      <c r="AT21" s="113">
        <f t="shared" si="14"/>
        <v>1.0113910956318826E-2</v>
      </c>
      <c r="AU21" s="859"/>
      <c r="BA21" s="854">
        <v>2038</v>
      </c>
      <c r="BB21" s="855">
        <f>IF(ISBLANK(Tb_Fuel38[[#This Row],[Override]]),Tb_Fuel38[[#This Row],[Germany - Grid]],Tb_Fuel38[[#This Row],[Override]])</f>
        <v>0.107</v>
      </c>
      <c r="BC21" s="855">
        <f>IF(ISBLANK(Tb_Fuel38[[#This Row],[Override2]]),Tb_Fuel38[[#This Row],[France - Grid]],Tb_Fuel38[[#This Row],[Override2]])</f>
        <v>9.5000000000000001E-2</v>
      </c>
      <c r="BD21" s="855">
        <f>IF(ISBLANK(Tb_Fuel38[[#This Row],[Override3]]),Tb_Fuel38[[#This Row],[Spain - Grid]],Tb_Fuel38[[#This Row],[Override3]])</f>
        <v>0.11</v>
      </c>
      <c r="BE21" s="855">
        <f>IF(ISBLANK(Tb_Fuel38[[#This Row],[Override18]]),Tb_Fuel38[[#This Row],[Germany - Feed-in electricity price]],Tb_Fuel38[[#This Row],[Override18]])</f>
        <v>0</v>
      </c>
      <c r="BF21" s="855">
        <f>IF(ISBLANK(Tb_Fuel38[[#This Row],[Override220]]),Tb_Fuel38[[#This Row],[France - Feed-in electricity price]],Tb_Fuel38[[#This Row],[Override220]])</f>
        <v>0</v>
      </c>
      <c r="BG21" s="855">
        <f>IF(ISBLANK(Tb_Fuel38[[#This Row],[Override322]]),Tb_Fuel38[[#This Row],[Spain - Feed-in electricity price]],Tb_Fuel38[[#This Row],[Override322]])</f>
        <v>0</v>
      </c>
      <c r="BH21" s="855">
        <f>IF(ISBLANK(Tb_Fuel38[[#This Row],[Override183]]),Tb_Fuel38[[#This Row],[Norway - Feed-in electricity price]],Tb_Fuel38[[#This Row],[Override183]])</f>
        <v>0</v>
      </c>
      <c r="BI21" s="855">
        <f>IF(ISBLANK(Tb_Fuel38[[#This Row],[Override2205]]),Tb_Fuel38[[#This Row],[Qatar - Feed-in electricity price]],Tb_Fuel38[[#This Row],[Override2205]])</f>
        <v>0</v>
      </c>
      <c r="BJ21" s="855">
        <f>IF(ISBLANK(Tb_Fuel38[[#This Row],[Override3227]]),Tb_Fuel38[[#This Row],[Algeria - Feed-in electricity price]],Tb_Fuel38[[#This Row],[Override3227]])</f>
        <v>0</v>
      </c>
      <c r="BK21" s="855">
        <f>IF(ISBLANK(Tb_Fuel38[[#This Row],[Override4]]),Tb_Fuel38[[#This Row],[Germany - Gas]],Tb_Fuel38[[#This Row],[Override4]])</f>
        <v>2.8250000000000001E-2</v>
      </c>
      <c r="BL21" s="855">
        <f>IF(ISBLANK(Tb_Fuel38[[#This Row],[Override5]]),Tb_Fuel38[[#This Row],[France - Gas]],Tb_Fuel38[[#This Row],[Override5]])</f>
        <v>2.8250000000000001E-2</v>
      </c>
      <c r="BM21" s="855">
        <f>IF(ISBLANK(Tb_Fuel38[[#This Row],[Override6]]),Tb_Fuel38[[#This Row],[Spain - Gas]],Tb_Fuel38[[#This Row],[Override6]])</f>
        <v>2.8250000000000001E-2</v>
      </c>
      <c r="BN21" s="855">
        <f>IF(ISBLANK(Tb_Fuel38[[#This Row],[Override7]]),Tb_Fuel38[[#This Row],[Algeria - Gas]],Tb_Fuel38[[#This Row],[Override7]])</f>
        <v>3.0000000000000001E-3</v>
      </c>
      <c r="BO21" s="855">
        <f>IF(ISBLANK(Tb_Fuel38[[#This Row],[Override8]]),Tb_Fuel38[[#This Row],[Norway - Gas]],Tb_Fuel38[[#This Row],[Override8]])</f>
        <v>8.0000000000000002E-3</v>
      </c>
      <c r="BP21" s="855">
        <f>IF(ISBLANK(Tb_Fuel38[[#This Row],[Override9]]),Tb_Fuel38[[#This Row],[Qatar - Gas]],Tb_Fuel38[[#This Row],[Override9]])</f>
        <v>4.0000000000000001E-3</v>
      </c>
      <c r="BQ21" s="855">
        <f>IF(ISBLANK(Tb_Fuel38[[#This Row],[Override10]]),Tb_Fuel38[[#This Row],[Germany - CO2 Price]],Tb_Fuel38[[#This Row],[Override10]])</f>
        <v>135.28367295172063</v>
      </c>
      <c r="BR21" s="855">
        <f>IF(ISBLANK(Tb_Fuel38[[#This Row],[Override11]]),Tb_Fuel38[[#This Row],[France - CO2 Price]],Tb_Fuel38[[#This Row],[Override11]])</f>
        <v>135.28367295172063</v>
      </c>
      <c r="BS21" s="855">
        <f>IF(ISBLANK(Tb_Fuel38[[#This Row],[Override12]]),Tb_Fuel38[[#This Row],[Spain - CO2 Price]],Tb_Fuel38[[#This Row],[Override12]])</f>
        <v>135.28367295172063</v>
      </c>
      <c r="BT21" s="855">
        <f>IF(ISBLANK(Tb_Fuel38[[#This Row],[Override13]]),Tb_Fuel38[[#This Row],[Algeria - CO2 Price]],Tb_Fuel38[[#This Row],[Override13]])</f>
        <v>0</v>
      </c>
      <c r="BU21" s="855">
        <f>IF(ISBLANK(Tb_Fuel38[[#This Row],[Override14]]),Tb_Fuel38[[#This Row],[Norway - CO2 Price]],Tb_Fuel38[[#This Row],[Override14]])</f>
        <v>135.28367295172063</v>
      </c>
      <c r="BV21" s="855">
        <f>IF(ISBLANK(Tb_Fuel38[[#This Row],[Override15]]),Tb_Fuel38[[#This Row],[Qatar - CO2 Price]],Tb_Fuel38[[#This Row],[Override15]])</f>
        <v>0</v>
      </c>
      <c r="BW21" s="855">
        <f>IF(ISBLANK(Tb_Fuel38[[#This Row],[Override16]]),Tb_Fuel38[[#This Row],[Global - Diesel]],Tb_Fuel38[[#This Row],[Override16]])</f>
        <v>1.3</v>
      </c>
      <c r="BX21" s="855">
        <f>IF(ISBLANK(Tb_Fuel38[[#This Row],[Override17]]),Tb_Fuel38[[#This Row],[Global - HFO]],Tb_Fuel38[[#This Row],[Override17]])</f>
        <v>1.0113910956318826E-2</v>
      </c>
    </row>
    <row r="22" spans="1:76">
      <c r="A22" s="107">
        <v>2039</v>
      </c>
      <c r="B22" s="113">
        <f t="shared" si="3"/>
        <v>0.107</v>
      </c>
      <c r="C22" s="857"/>
      <c r="D22" s="113">
        <f t="shared" si="4"/>
        <v>9.5000000000000001E-2</v>
      </c>
      <c r="E22" s="857"/>
      <c r="F22" s="113">
        <f t="shared" si="15"/>
        <v>0.11</v>
      </c>
      <c r="G22" s="857"/>
      <c r="H22" s="113"/>
      <c r="I22" s="857"/>
      <c r="J22" s="113"/>
      <c r="K22" s="857"/>
      <c r="L22" s="113"/>
      <c r="M22" s="857"/>
      <c r="N22" s="113"/>
      <c r="O22" s="857"/>
      <c r="P22" s="113"/>
      <c r="Q22" s="857"/>
      <c r="R22" s="113"/>
      <c r="S22" s="857"/>
      <c r="T22" s="113">
        <f t="shared" si="5"/>
        <v>2.8250000000000001E-2</v>
      </c>
      <c r="U22" s="857"/>
      <c r="V22" s="113">
        <f t="shared" si="6"/>
        <v>2.8250000000000001E-2</v>
      </c>
      <c r="W22" s="857"/>
      <c r="X22" s="113">
        <f t="shared" si="7"/>
        <v>2.8250000000000001E-2</v>
      </c>
      <c r="Y22" s="857"/>
      <c r="Z22" s="113">
        <f t="shared" si="8"/>
        <v>3.0000000000000001E-3</v>
      </c>
      <c r="AA22" s="857"/>
      <c r="AB22" s="113">
        <f t="shared" si="9"/>
        <v>8.0000000000000002E-3</v>
      </c>
      <c r="AC22" s="857"/>
      <c r="AD22" s="113">
        <f t="shared" si="10"/>
        <v>4.0000000000000001E-3</v>
      </c>
      <c r="AE22" s="857"/>
      <c r="AF22" s="113">
        <f>($AF$23-$AF$13)*(Tb_Fuel38[[#This Row],[Year]]-$A$13)/($A$23-$A$13)+$AF$13</f>
        <v>139.51128773146189</v>
      </c>
      <c r="AG22" s="857"/>
      <c r="AH22" s="113">
        <f>($AF$23-$AF$13)*(Tb_Fuel38[[#This Row],[Year]]-$A$13)/($A$23-$A$13)+$AF$13</f>
        <v>139.51128773146189</v>
      </c>
      <c r="AI22" s="857"/>
      <c r="AJ22" s="113">
        <f>($AF$23-$AF$13)*(Tb_Fuel38[[#This Row],[Year]]-$A$13)/($A$23-$A$13)+$AF$13</f>
        <v>139.51128773146189</v>
      </c>
      <c r="AK22" s="857"/>
      <c r="AL22" s="113">
        <f t="shared" si="11"/>
        <v>0</v>
      </c>
      <c r="AM22" s="857"/>
      <c r="AN22" s="113">
        <f>($AF$23-$AF$13)*(Tb_Fuel38[[#This Row],[Year]]-$A$13)/($A$23-$A$13)+$AF$13</f>
        <v>139.51128773146189</v>
      </c>
      <c r="AO22" s="857"/>
      <c r="AP22" s="113">
        <f t="shared" si="12"/>
        <v>0</v>
      </c>
      <c r="AQ22" s="857"/>
      <c r="AR22" s="113">
        <f t="shared" si="13"/>
        <v>1.3</v>
      </c>
      <c r="AS22" s="857"/>
      <c r="AT22" s="113">
        <f t="shared" si="14"/>
        <v>1.0113910956318826E-2</v>
      </c>
      <c r="AU22" s="859"/>
      <c r="BA22" s="854">
        <v>2039</v>
      </c>
      <c r="BB22" s="855">
        <f>IF(ISBLANK(Tb_Fuel38[[#This Row],[Override]]),Tb_Fuel38[[#This Row],[Germany - Grid]],Tb_Fuel38[[#This Row],[Override]])</f>
        <v>0.107</v>
      </c>
      <c r="BC22" s="855">
        <f>IF(ISBLANK(Tb_Fuel38[[#This Row],[Override2]]),Tb_Fuel38[[#This Row],[France - Grid]],Tb_Fuel38[[#This Row],[Override2]])</f>
        <v>9.5000000000000001E-2</v>
      </c>
      <c r="BD22" s="855">
        <f>IF(ISBLANK(Tb_Fuel38[[#This Row],[Override3]]),Tb_Fuel38[[#This Row],[Spain - Grid]],Tb_Fuel38[[#This Row],[Override3]])</f>
        <v>0.11</v>
      </c>
      <c r="BE22" s="855">
        <f>IF(ISBLANK(Tb_Fuel38[[#This Row],[Override18]]),Tb_Fuel38[[#This Row],[Germany - Feed-in electricity price]],Tb_Fuel38[[#This Row],[Override18]])</f>
        <v>0</v>
      </c>
      <c r="BF22" s="855">
        <f>IF(ISBLANK(Tb_Fuel38[[#This Row],[Override220]]),Tb_Fuel38[[#This Row],[France - Feed-in electricity price]],Tb_Fuel38[[#This Row],[Override220]])</f>
        <v>0</v>
      </c>
      <c r="BG22" s="855">
        <f>IF(ISBLANK(Tb_Fuel38[[#This Row],[Override322]]),Tb_Fuel38[[#This Row],[Spain - Feed-in electricity price]],Tb_Fuel38[[#This Row],[Override322]])</f>
        <v>0</v>
      </c>
      <c r="BH22" s="855">
        <f>IF(ISBLANK(Tb_Fuel38[[#This Row],[Override183]]),Tb_Fuel38[[#This Row],[Norway - Feed-in electricity price]],Tb_Fuel38[[#This Row],[Override183]])</f>
        <v>0</v>
      </c>
      <c r="BI22" s="855">
        <f>IF(ISBLANK(Tb_Fuel38[[#This Row],[Override2205]]),Tb_Fuel38[[#This Row],[Qatar - Feed-in electricity price]],Tb_Fuel38[[#This Row],[Override2205]])</f>
        <v>0</v>
      </c>
      <c r="BJ22" s="855">
        <f>IF(ISBLANK(Tb_Fuel38[[#This Row],[Override3227]]),Tb_Fuel38[[#This Row],[Algeria - Feed-in electricity price]],Tb_Fuel38[[#This Row],[Override3227]])</f>
        <v>0</v>
      </c>
      <c r="BK22" s="855">
        <f>IF(ISBLANK(Tb_Fuel38[[#This Row],[Override4]]),Tb_Fuel38[[#This Row],[Germany - Gas]],Tb_Fuel38[[#This Row],[Override4]])</f>
        <v>2.8250000000000001E-2</v>
      </c>
      <c r="BL22" s="855">
        <f>IF(ISBLANK(Tb_Fuel38[[#This Row],[Override5]]),Tb_Fuel38[[#This Row],[France - Gas]],Tb_Fuel38[[#This Row],[Override5]])</f>
        <v>2.8250000000000001E-2</v>
      </c>
      <c r="BM22" s="855">
        <f>IF(ISBLANK(Tb_Fuel38[[#This Row],[Override6]]),Tb_Fuel38[[#This Row],[Spain - Gas]],Tb_Fuel38[[#This Row],[Override6]])</f>
        <v>2.8250000000000001E-2</v>
      </c>
      <c r="BN22" s="855">
        <f>IF(ISBLANK(Tb_Fuel38[[#This Row],[Override7]]),Tb_Fuel38[[#This Row],[Algeria - Gas]],Tb_Fuel38[[#This Row],[Override7]])</f>
        <v>3.0000000000000001E-3</v>
      </c>
      <c r="BO22" s="855">
        <f>IF(ISBLANK(Tb_Fuel38[[#This Row],[Override8]]),Tb_Fuel38[[#This Row],[Norway - Gas]],Tb_Fuel38[[#This Row],[Override8]])</f>
        <v>8.0000000000000002E-3</v>
      </c>
      <c r="BP22" s="855">
        <f>IF(ISBLANK(Tb_Fuel38[[#This Row],[Override9]]),Tb_Fuel38[[#This Row],[Qatar - Gas]],Tb_Fuel38[[#This Row],[Override9]])</f>
        <v>4.0000000000000001E-3</v>
      </c>
      <c r="BQ22" s="855">
        <f>IF(ISBLANK(Tb_Fuel38[[#This Row],[Override10]]),Tb_Fuel38[[#This Row],[Germany - CO2 Price]],Tb_Fuel38[[#This Row],[Override10]])</f>
        <v>139.51128773146189</v>
      </c>
      <c r="BR22" s="855">
        <f>IF(ISBLANK(Tb_Fuel38[[#This Row],[Override11]]),Tb_Fuel38[[#This Row],[France - CO2 Price]],Tb_Fuel38[[#This Row],[Override11]])</f>
        <v>139.51128773146189</v>
      </c>
      <c r="BS22" s="855">
        <f>IF(ISBLANK(Tb_Fuel38[[#This Row],[Override12]]),Tb_Fuel38[[#This Row],[Spain - CO2 Price]],Tb_Fuel38[[#This Row],[Override12]])</f>
        <v>139.51128773146189</v>
      </c>
      <c r="BT22" s="855">
        <f>IF(ISBLANK(Tb_Fuel38[[#This Row],[Override13]]),Tb_Fuel38[[#This Row],[Algeria - CO2 Price]],Tb_Fuel38[[#This Row],[Override13]])</f>
        <v>0</v>
      </c>
      <c r="BU22" s="855">
        <f>IF(ISBLANK(Tb_Fuel38[[#This Row],[Override14]]),Tb_Fuel38[[#This Row],[Norway - CO2 Price]],Tb_Fuel38[[#This Row],[Override14]])</f>
        <v>139.51128773146189</v>
      </c>
      <c r="BV22" s="855">
        <f>IF(ISBLANK(Tb_Fuel38[[#This Row],[Override15]]),Tb_Fuel38[[#This Row],[Qatar - CO2 Price]],Tb_Fuel38[[#This Row],[Override15]])</f>
        <v>0</v>
      </c>
      <c r="BW22" s="855">
        <f>IF(ISBLANK(Tb_Fuel38[[#This Row],[Override16]]),Tb_Fuel38[[#This Row],[Global - Diesel]],Tb_Fuel38[[#This Row],[Override16]])</f>
        <v>1.3</v>
      </c>
      <c r="BX22" s="855">
        <f>IF(ISBLANK(Tb_Fuel38[[#This Row],[Override17]]),Tb_Fuel38[[#This Row],[Global - HFO]],Tb_Fuel38[[#This Row],[Override17]])</f>
        <v>1.0113910956318826E-2</v>
      </c>
    </row>
    <row r="23" spans="1:76">
      <c r="A23" s="107">
        <v>2040</v>
      </c>
      <c r="B23" s="113">
        <f t="shared" si="3"/>
        <v>0.107</v>
      </c>
      <c r="C23" s="857"/>
      <c r="D23" s="113">
        <f t="shared" si="4"/>
        <v>9.5000000000000001E-2</v>
      </c>
      <c r="E23" s="857"/>
      <c r="F23" s="113">
        <f t="shared" si="15"/>
        <v>0.11</v>
      </c>
      <c r="G23" s="857"/>
      <c r="H23" s="113"/>
      <c r="I23" s="857"/>
      <c r="J23" s="113"/>
      <c r="K23" s="857"/>
      <c r="L23" s="113"/>
      <c r="M23" s="857"/>
      <c r="N23" s="113"/>
      <c r="O23" s="857"/>
      <c r="P23" s="113"/>
      <c r="Q23" s="857"/>
      <c r="R23" s="113"/>
      <c r="S23" s="857"/>
      <c r="T23" s="113">
        <f t="shared" si="5"/>
        <v>2.8250000000000001E-2</v>
      </c>
      <c r="U23" s="857"/>
      <c r="V23" s="113">
        <f t="shared" si="6"/>
        <v>2.8250000000000001E-2</v>
      </c>
      <c r="W23" s="857"/>
      <c r="X23" s="113">
        <f t="shared" si="7"/>
        <v>2.8250000000000001E-2</v>
      </c>
      <c r="Y23" s="857"/>
      <c r="Z23" s="113">
        <f t="shared" si="8"/>
        <v>3.0000000000000001E-3</v>
      </c>
      <c r="AA23" s="857"/>
      <c r="AB23" s="113">
        <f t="shared" si="9"/>
        <v>8.0000000000000002E-3</v>
      </c>
      <c r="AC23" s="857"/>
      <c r="AD23" s="113">
        <f t="shared" si="10"/>
        <v>4.0000000000000001E-3</v>
      </c>
      <c r="AE23" s="857"/>
      <c r="AF23" s="113">
        <f>170/'General values'!$M$24</f>
        <v>143.73890251120318</v>
      </c>
      <c r="AG23" s="857"/>
      <c r="AH23" s="113">
        <f>170/'General values'!$M$24</f>
        <v>143.73890251120318</v>
      </c>
      <c r="AI23" s="857"/>
      <c r="AJ23" s="113">
        <f>170/'General values'!$M$24</f>
        <v>143.73890251120318</v>
      </c>
      <c r="AK23" s="857"/>
      <c r="AL23" s="113">
        <f t="shared" si="11"/>
        <v>0</v>
      </c>
      <c r="AM23" s="857"/>
      <c r="AN23" s="113">
        <f>170/'General values'!$M$24</f>
        <v>143.73890251120318</v>
      </c>
      <c r="AO23" s="857"/>
      <c r="AP23" s="113">
        <f t="shared" si="12"/>
        <v>0</v>
      </c>
      <c r="AQ23" s="857"/>
      <c r="AR23" s="113">
        <f t="shared" si="13"/>
        <v>1.3</v>
      </c>
      <c r="AS23" s="857"/>
      <c r="AT23" s="113">
        <f t="shared" si="14"/>
        <v>1.0113910956318826E-2</v>
      </c>
      <c r="AU23" s="859"/>
      <c r="BA23" s="854">
        <v>2040</v>
      </c>
      <c r="BB23" s="855">
        <f>IF(ISBLANK(Tb_Fuel38[[#This Row],[Override]]),Tb_Fuel38[[#This Row],[Germany - Grid]],Tb_Fuel38[[#This Row],[Override]])</f>
        <v>0.107</v>
      </c>
      <c r="BC23" s="855">
        <f>IF(ISBLANK(Tb_Fuel38[[#This Row],[Override2]]),Tb_Fuel38[[#This Row],[France - Grid]],Tb_Fuel38[[#This Row],[Override2]])</f>
        <v>9.5000000000000001E-2</v>
      </c>
      <c r="BD23" s="855">
        <f>IF(ISBLANK(Tb_Fuel38[[#This Row],[Override3]]),Tb_Fuel38[[#This Row],[Spain - Grid]],Tb_Fuel38[[#This Row],[Override3]])</f>
        <v>0.11</v>
      </c>
      <c r="BE23" s="855">
        <f>IF(ISBLANK(Tb_Fuel38[[#This Row],[Override18]]),Tb_Fuel38[[#This Row],[Germany - Feed-in electricity price]],Tb_Fuel38[[#This Row],[Override18]])</f>
        <v>0</v>
      </c>
      <c r="BF23" s="855">
        <f>IF(ISBLANK(Tb_Fuel38[[#This Row],[Override220]]),Tb_Fuel38[[#This Row],[France - Feed-in electricity price]],Tb_Fuel38[[#This Row],[Override220]])</f>
        <v>0</v>
      </c>
      <c r="BG23" s="855">
        <f>IF(ISBLANK(Tb_Fuel38[[#This Row],[Override322]]),Tb_Fuel38[[#This Row],[Spain - Feed-in electricity price]],Tb_Fuel38[[#This Row],[Override322]])</f>
        <v>0</v>
      </c>
      <c r="BH23" s="855">
        <f>IF(ISBLANK(Tb_Fuel38[[#This Row],[Override183]]),Tb_Fuel38[[#This Row],[Norway - Feed-in electricity price]],Tb_Fuel38[[#This Row],[Override183]])</f>
        <v>0</v>
      </c>
      <c r="BI23" s="855">
        <f>IF(ISBLANK(Tb_Fuel38[[#This Row],[Override2205]]),Tb_Fuel38[[#This Row],[Qatar - Feed-in electricity price]],Tb_Fuel38[[#This Row],[Override2205]])</f>
        <v>0</v>
      </c>
      <c r="BJ23" s="855">
        <f>IF(ISBLANK(Tb_Fuel38[[#This Row],[Override3227]]),Tb_Fuel38[[#This Row],[Algeria - Feed-in electricity price]],Tb_Fuel38[[#This Row],[Override3227]])</f>
        <v>0</v>
      </c>
      <c r="BK23" s="855">
        <f>IF(ISBLANK(Tb_Fuel38[[#This Row],[Override4]]),Tb_Fuel38[[#This Row],[Germany - Gas]],Tb_Fuel38[[#This Row],[Override4]])</f>
        <v>2.8250000000000001E-2</v>
      </c>
      <c r="BL23" s="855">
        <f>IF(ISBLANK(Tb_Fuel38[[#This Row],[Override5]]),Tb_Fuel38[[#This Row],[France - Gas]],Tb_Fuel38[[#This Row],[Override5]])</f>
        <v>2.8250000000000001E-2</v>
      </c>
      <c r="BM23" s="855">
        <f>IF(ISBLANK(Tb_Fuel38[[#This Row],[Override6]]),Tb_Fuel38[[#This Row],[Spain - Gas]],Tb_Fuel38[[#This Row],[Override6]])</f>
        <v>2.8250000000000001E-2</v>
      </c>
      <c r="BN23" s="855">
        <f>IF(ISBLANK(Tb_Fuel38[[#This Row],[Override7]]),Tb_Fuel38[[#This Row],[Algeria - Gas]],Tb_Fuel38[[#This Row],[Override7]])</f>
        <v>3.0000000000000001E-3</v>
      </c>
      <c r="BO23" s="855">
        <f>IF(ISBLANK(Tb_Fuel38[[#This Row],[Override8]]),Tb_Fuel38[[#This Row],[Norway - Gas]],Tb_Fuel38[[#This Row],[Override8]])</f>
        <v>8.0000000000000002E-3</v>
      </c>
      <c r="BP23" s="855">
        <f>IF(ISBLANK(Tb_Fuel38[[#This Row],[Override9]]),Tb_Fuel38[[#This Row],[Qatar - Gas]],Tb_Fuel38[[#This Row],[Override9]])</f>
        <v>4.0000000000000001E-3</v>
      </c>
      <c r="BQ23" s="855">
        <f>IF(ISBLANK(Tb_Fuel38[[#This Row],[Override10]]),Tb_Fuel38[[#This Row],[Germany - CO2 Price]],Tb_Fuel38[[#This Row],[Override10]])</f>
        <v>143.73890251120318</v>
      </c>
      <c r="BR23" s="855">
        <f>IF(ISBLANK(Tb_Fuel38[[#This Row],[Override11]]),Tb_Fuel38[[#This Row],[France - CO2 Price]],Tb_Fuel38[[#This Row],[Override11]])</f>
        <v>143.73890251120318</v>
      </c>
      <c r="BS23" s="855">
        <f>IF(ISBLANK(Tb_Fuel38[[#This Row],[Override12]]),Tb_Fuel38[[#This Row],[Spain - CO2 Price]],Tb_Fuel38[[#This Row],[Override12]])</f>
        <v>143.73890251120318</v>
      </c>
      <c r="BT23" s="855">
        <f>IF(ISBLANK(Tb_Fuel38[[#This Row],[Override13]]),Tb_Fuel38[[#This Row],[Algeria - CO2 Price]],Tb_Fuel38[[#This Row],[Override13]])</f>
        <v>0</v>
      </c>
      <c r="BU23" s="855">
        <f>IF(ISBLANK(Tb_Fuel38[[#This Row],[Override14]]),Tb_Fuel38[[#This Row],[Norway - CO2 Price]],Tb_Fuel38[[#This Row],[Override14]])</f>
        <v>143.73890251120318</v>
      </c>
      <c r="BV23" s="855">
        <f>IF(ISBLANK(Tb_Fuel38[[#This Row],[Override15]]),Tb_Fuel38[[#This Row],[Qatar - CO2 Price]],Tb_Fuel38[[#This Row],[Override15]])</f>
        <v>0</v>
      </c>
      <c r="BW23" s="855">
        <f>IF(ISBLANK(Tb_Fuel38[[#This Row],[Override16]]),Tb_Fuel38[[#This Row],[Global - Diesel]],Tb_Fuel38[[#This Row],[Override16]])</f>
        <v>1.3</v>
      </c>
      <c r="BX23" s="855">
        <f>IF(ISBLANK(Tb_Fuel38[[#This Row],[Override17]]),Tb_Fuel38[[#This Row],[Global - HFO]],Tb_Fuel38[[#This Row],[Override17]])</f>
        <v>1.0113910956318826E-2</v>
      </c>
    </row>
    <row r="24" spans="1:76">
      <c r="A24" s="107">
        <v>2041</v>
      </c>
      <c r="B24" s="113">
        <f t="shared" si="3"/>
        <v>0.107</v>
      </c>
      <c r="C24" s="857"/>
      <c r="D24" s="113">
        <f t="shared" si="4"/>
        <v>9.5000000000000001E-2</v>
      </c>
      <c r="E24" s="857"/>
      <c r="F24" s="113">
        <f t="shared" si="15"/>
        <v>0.11</v>
      </c>
      <c r="G24" s="857"/>
      <c r="H24" s="113"/>
      <c r="I24" s="857"/>
      <c r="J24" s="113"/>
      <c r="K24" s="857"/>
      <c r="L24" s="113"/>
      <c r="M24" s="857"/>
      <c r="N24" s="113"/>
      <c r="O24" s="857"/>
      <c r="P24" s="113"/>
      <c r="Q24" s="857"/>
      <c r="R24" s="113"/>
      <c r="S24" s="857"/>
      <c r="T24" s="113">
        <f t="shared" si="5"/>
        <v>2.8250000000000001E-2</v>
      </c>
      <c r="U24" s="857"/>
      <c r="V24" s="113">
        <f t="shared" si="6"/>
        <v>2.8250000000000001E-2</v>
      </c>
      <c r="W24" s="857"/>
      <c r="X24" s="113">
        <f t="shared" si="7"/>
        <v>2.8250000000000001E-2</v>
      </c>
      <c r="Y24" s="857"/>
      <c r="Z24" s="113">
        <f t="shared" si="8"/>
        <v>3.0000000000000001E-3</v>
      </c>
      <c r="AA24" s="857"/>
      <c r="AB24" s="113">
        <f t="shared" si="9"/>
        <v>8.0000000000000002E-3</v>
      </c>
      <c r="AC24" s="857"/>
      <c r="AD24" s="113">
        <f t="shared" si="10"/>
        <v>4.0000000000000001E-3</v>
      </c>
      <c r="AE24" s="857"/>
      <c r="AF24" s="113">
        <f>(AF$33-AF$23)*(Tb_Fuel38[[#This Row],[Year]]-$A$23)/($A$33-$A$23)+AF$23</f>
        <v>146.27547137904793</v>
      </c>
      <c r="AG24" s="857"/>
      <c r="AH24" s="113">
        <f>(AH$33-AH$23)*(Tb_Fuel38[[#This Row],[Year]]-$A$23)/($A$33-$A$23)+AH$23</f>
        <v>146.27547137904793</v>
      </c>
      <c r="AI24" s="857"/>
      <c r="AJ24" s="113">
        <f>(AJ$33-AJ$23)*(Tb_Fuel38[[#This Row],[Year]]-$A$23)/($A$33-$A$23)+AJ$23</f>
        <v>146.27547137904793</v>
      </c>
      <c r="AK24" s="857"/>
      <c r="AL24" s="113">
        <f t="shared" si="11"/>
        <v>0</v>
      </c>
      <c r="AM24" s="857"/>
      <c r="AN24" s="113">
        <f>(AN$33-AN$23)*(Tb_Fuel38[[#This Row],[Year]]-$A$23)/($A$33-$A$23)+AN$23</f>
        <v>146.27547137904793</v>
      </c>
      <c r="AO24" s="857"/>
      <c r="AP24" s="113">
        <f t="shared" si="12"/>
        <v>0</v>
      </c>
      <c r="AQ24" s="857"/>
      <c r="AR24" s="113">
        <f t="shared" si="13"/>
        <v>1.3</v>
      </c>
      <c r="AS24" s="857"/>
      <c r="AT24" s="113">
        <f t="shared" si="14"/>
        <v>1.0113910956318826E-2</v>
      </c>
      <c r="AU24" s="859"/>
      <c r="BA24" s="854">
        <v>2041</v>
      </c>
      <c r="BB24" s="855">
        <f>IF(ISBLANK(Tb_Fuel38[[#This Row],[Override]]),Tb_Fuel38[[#This Row],[Germany - Grid]],Tb_Fuel38[[#This Row],[Override]])</f>
        <v>0.107</v>
      </c>
      <c r="BC24" s="855">
        <f>IF(ISBLANK(Tb_Fuel38[[#This Row],[Override2]]),Tb_Fuel38[[#This Row],[France - Grid]],Tb_Fuel38[[#This Row],[Override2]])</f>
        <v>9.5000000000000001E-2</v>
      </c>
      <c r="BD24" s="855">
        <f>IF(ISBLANK(Tb_Fuel38[[#This Row],[Override3]]),Tb_Fuel38[[#This Row],[Spain - Grid]],Tb_Fuel38[[#This Row],[Override3]])</f>
        <v>0.11</v>
      </c>
      <c r="BE24" s="855">
        <f>IF(ISBLANK(Tb_Fuel38[[#This Row],[Override18]]),Tb_Fuel38[[#This Row],[Germany - Feed-in electricity price]],Tb_Fuel38[[#This Row],[Override18]])</f>
        <v>0</v>
      </c>
      <c r="BF24" s="855">
        <f>IF(ISBLANK(Tb_Fuel38[[#This Row],[Override220]]),Tb_Fuel38[[#This Row],[France - Feed-in electricity price]],Tb_Fuel38[[#This Row],[Override220]])</f>
        <v>0</v>
      </c>
      <c r="BG24" s="855">
        <f>IF(ISBLANK(Tb_Fuel38[[#This Row],[Override322]]),Tb_Fuel38[[#This Row],[Spain - Feed-in electricity price]],Tb_Fuel38[[#This Row],[Override322]])</f>
        <v>0</v>
      </c>
      <c r="BH24" s="855">
        <f>IF(ISBLANK(Tb_Fuel38[[#This Row],[Override183]]),Tb_Fuel38[[#This Row],[Norway - Feed-in electricity price]],Tb_Fuel38[[#This Row],[Override183]])</f>
        <v>0</v>
      </c>
      <c r="BI24" s="855">
        <f>IF(ISBLANK(Tb_Fuel38[[#This Row],[Override2205]]),Tb_Fuel38[[#This Row],[Qatar - Feed-in electricity price]],Tb_Fuel38[[#This Row],[Override2205]])</f>
        <v>0</v>
      </c>
      <c r="BJ24" s="855">
        <f>IF(ISBLANK(Tb_Fuel38[[#This Row],[Override3227]]),Tb_Fuel38[[#This Row],[Algeria - Feed-in electricity price]],Tb_Fuel38[[#This Row],[Override3227]])</f>
        <v>0</v>
      </c>
      <c r="BK24" s="855">
        <f>IF(ISBLANK(Tb_Fuel38[[#This Row],[Override4]]),Tb_Fuel38[[#This Row],[Germany - Gas]],Tb_Fuel38[[#This Row],[Override4]])</f>
        <v>2.8250000000000001E-2</v>
      </c>
      <c r="BL24" s="855">
        <f>IF(ISBLANK(Tb_Fuel38[[#This Row],[Override5]]),Tb_Fuel38[[#This Row],[France - Gas]],Tb_Fuel38[[#This Row],[Override5]])</f>
        <v>2.8250000000000001E-2</v>
      </c>
      <c r="BM24" s="855">
        <f>IF(ISBLANK(Tb_Fuel38[[#This Row],[Override6]]),Tb_Fuel38[[#This Row],[Spain - Gas]],Tb_Fuel38[[#This Row],[Override6]])</f>
        <v>2.8250000000000001E-2</v>
      </c>
      <c r="BN24" s="855">
        <f>IF(ISBLANK(Tb_Fuel38[[#This Row],[Override7]]),Tb_Fuel38[[#This Row],[Algeria - Gas]],Tb_Fuel38[[#This Row],[Override7]])</f>
        <v>3.0000000000000001E-3</v>
      </c>
      <c r="BO24" s="855">
        <f>IF(ISBLANK(Tb_Fuel38[[#This Row],[Override8]]),Tb_Fuel38[[#This Row],[Norway - Gas]],Tb_Fuel38[[#This Row],[Override8]])</f>
        <v>8.0000000000000002E-3</v>
      </c>
      <c r="BP24" s="855">
        <f>IF(ISBLANK(Tb_Fuel38[[#This Row],[Override9]]),Tb_Fuel38[[#This Row],[Qatar - Gas]],Tb_Fuel38[[#This Row],[Override9]])</f>
        <v>4.0000000000000001E-3</v>
      </c>
      <c r="BQ24" s="855">
        <f>IF(ISBLANK(Tb_Fuel38[[#This Row],[Override10]]),Tb_Fuel38[[#This Row],[Germany - CO2 Price]],Tb_Fuel38[[#This Row],[Override10]])</f>
        <v>146.27547137904793</v>
      </c>
      <c r="BR24" s="855">
        <f>IF(ISBLANK(Tb_Fuel38[[#This Row],[Override11]]),Tb_Fuel38[[#This Row],[France - CO2 Price]],Tb_Fuel38[[#This Row],[Override11]])</f>
        <v>146.27547137904793</v>
      </c>
      <c r="BS24" s="855">
        <f>IF(ISBLANK(Tb_Fuel38[[#This Row],[Override12]]),Tb_Fuel38[[#This Row],[Spain - CO2 Price]],Tb_Fuel38[[#This Row],[Override12]])</f>
        <v>146.27547137904793</v>
      </c>
      <c r="BT24" s="855">
        <f>IF(ISBLANK(Tb_Fuel38[[#This Row],[Override13]]),Tb_Fuel38[[#This Row],[Algeria - CO2 Price]],Tb_Fuel38[[#This Row],[Override13]])</f>
        <v>0</v>
      </c>
      <c r="BU24" s="855">
        <f>IF(ISBLANK(Tb_Fuel38[[#This Row],[Override14]]),Tb_Fuel38[[#This Row],[Norway - CO2 Price]],Tb_Fuel38[[#This Row],[Override14]])</f>
        <v>146.27547137904793</v>
      </c>
      <c r="BV24" s="855">
        <f>IF(ISBLANK(Tb_Fuel38[[#This Row],[Override15]]),Tb_Fuel38[[#This Row],[Qatar - CO2 Price]],Tb_Fuel38[[#This Row],[Override15]])</f>
        <v>0</v>
      </c>
      <c r="BW24" s="855">
        <f>IF(ISBLANK(Tb_Fuel38[[#This Row],[Override16]]),Tb_Fuel38[[#This Row],[Global - Diesel]],Tb_Fuel38[[#This Row],[Override16]])</f>
        <v>1.3</v>
      </c>
      <c r="BX24" s="855">
        <f>IF(ISBLANK(Tb_Fuel38[[#This Row],[Override17]]),Tb_Fuel38[[#This Row],[Global - HFO]],Tb_Fuel38[[#This Row],[Override17]])</f>
        <v>1.0113910956318826E-2</v>
      </c>
    </row>
    <row r="25" spans="1:76">
      <c r="A25" s="107">
        <v>2042</v>
      </c>
      <c r="B25" s="113">
        <f t="shared" si="3"/>
        <v>0.107</v>
      </c>
      <c r="C25" s="857"/>
      <c r="D25" s="113">
        <f t="shared" si="4"/>
        <v>9.5000000000000001E-2</v>
      </c>
      <c r="E25" s="857"/>
      <c r="F25" s="113">
        <f t="shared" si="15"/>
        <v>0.11</v>
      </c>
      <c r="G25" s="857"/>
      <c r="H25" s="113"/>
      <c r="I25" s="857"/>
      <c r="J25" s="113"/>
      <c r="K25" s="857"/>
      <c r="L25" s="113"/>
      <c r="M25" s="857"/>
      <c r="N25" s="113"/>
      <c r="O25" s="857"/>
      <c r="P25" s="113"/>
      <c r="Q25" s="857"/>
      <c r="R25" s="113"/>
      <c r="S25" s="857"/>
      <c r="T25" s="113">
        <f t="shared" si="5"/>
        <v>2.8250000000000001E-2</v>
      </c>
      <c r="U25" s="857"/>
      <c r="V25" s="113">
        <f t="shared" si="6"/>
        <v>2.8250000000000001E-2</v>
      </c>
      <c r="W25" s="857"/>
      <c r="X25" s="113">
        <f t="shared" si="7"/>
        <v>2.8250000000000001E-2</v>
      </c>
      <c r="Y25" s="857"/>
      <c r="Z25" s="113">
        <f t="shared" si="8"/>
        <v>3.0000000000000001E-3</v>
      </c>
      <c r="AA25" s="857"/>
      <c r="AB25" s="113">
        <f t="shared" si="9"/>
        <v>8.0000000000000002E-3</v>
      </c>
      <c r="AC25" s="857"/>
      <c r="AD25" s="113">
        <f t="shared" si="10"/>
        <v>4.0000000000000001E-3</v>
      </c>
      <c r="AE25" s="857"/>
      <c r="AF25" s="113">
        <f>(AF$33-AF$23)*(Tb_Fuel38[[#This Row],[Year]]-$A$23)/($A$33-$A$23)+AF$23</f>
        <v>148.81204024689271</v>
      </c>
      <c r="AG25" s="857"/>
      <c r="AH25" s="113">
        <f>(AH$33-AH$23)*(Tb_Fuel38[[#This Row],[Year]]-$A$23)/($A$33-$A$23)+AH$23</f>
        <v>148.81204024689271</v>
      </c>
      <c r="AI25" s="857"/>
      <c r="AJ25" s="113">
        <f>(AJ$33-AJ$23)*(Tb_Fuel38[[#This Row],[Year]]-$A$23)/($A$33-$A$23)+AJ$23</f>
        <v>148.81204024689271</v>
      </c>
      <c r="AK25" s="857"/>
      <c r="AL25" s="113">
        <f t="shared" si="11"/>
        <v>0</v>
      </c>
      <c r="AM25" s="857"/>
      <c r="AN25" s="113">
        <f>(AN$33-AN$23)*(Tb_Fuel38[[#This Row],[Year]]-$A$23)/($A$33-$A$23)+AN$23</f>
        <v>148.81204024689271</v>
      </c>
      <c r="AO25" s="857"/>
      <c r="AP25" s="113">
        <f t="shared" si="12"/>
        <v>0</v>
      </c>
      <c r="AQ25" s="857"/>
      <c r="AR25" s="113">
        <f t="shared" si="13"/>
        <v>1.3</v>
      </c>
      <c r="AS25" s="857"/>
      <c r="AT25" s="113">
        <f t="shared" si="14"/>
        <v>1.0113910956318826E-2</v>
      </c>
      <c r="AU25" s="859"/>
      <c r="BA25" s="854">
        <v>2042</v>
      </c>
      <c r="BB25" s="855">
        <f>IF(ISBLANK(Tb_Fuel38[[#This Row],[Override]]),Tb_Fuel38[[#This Row],[Germany - Grid]],Tb_Fuel38[[#This Row],[Override]])</f>
        <v>0.107</v>
      </c>
      <c r="BC25" s="855">
        <f>IF(ISBLANK(Tb_Fuel38[[#This Row],[Override2]]),Tb_Fuel38[[#This Row],[France - Grid]],Tb_Fuel38[[#This Row],[Override2]])</f>
        <v>9.5000000000000001E-2</v>
      </c>
      <c r="BD25" s="855">
        <f>IF(ISBLANK(Tb_Fuel38[[#This Row],[Override3]]),Tb_Fuel38[[#This Row],[Spain - Grid]],Tb_Fuel38[[#This Row],[Override3]])</f>
        <v>0.11</v>
      </c>
      <c r="BE25" s="855">
        <f>IF(ISBLANK(Tb_Fuel38[[#This Row],[Override18]]),Tb_Fuel38[[#This Row],[Germany - Feed-in electricity price]],Tb_Fuel38[[#This Row],[Override18]])</f>
        <v>0</v>
      </c>
      <c r="BF25" s="855">
        <f>IF(ISBLANK(Tb_Fuel38[[#This Row],[Override220]]),Tb_Fuel38[[#This Row],[France - Feed-in electricity price]],Tb_Fuel38[[#This Row],[Override220]])</f>
        <v>0</v>
      </c>
      <c r="BG25" s="855">
        <f>IF(ISBLANK(Tb_Fuel38[[#This Row],[Override322]]),Tb_Fuel38[[#This Row],[Spain - Feed-in electricity price]],Tb_Fuel38[[#This Row],[Override322]])</f>
        <v>0</v>
      </c>
      <c r="BH25" s="855">
        <f>IF(ISBLANK(Tb_Fuel38[[#This Row],[Override183]]),Tb_Fuel38[[#This Row],[Norway - Feed-in electricity price]],Tb_Fuel38[[#This Row],[Override183]])</f>
        <v>0</v>
      </c>
      <c r="BI25" s="855">
        <f>IF(ISBLANK(Tb_Fuel38[[#This Row],[Override2205]]),Tb_Fuel38[[#This Row],[Qatar - Feed-in electricity price]],Tb_Fuel38[[#This Row],[Override2205]])</f>
        <v>0</v>
      </c>
      <c r="BJ25" s="855">
        <f>IF(ISBLANK(Tb_Fuel38[[#This Row],[Override3227]]),Tb_Fuel38[[#This Row],[Algeria - Feed-in electricity price]],Tb_Fuel38[[#This Row],[Override3227]])</f>
        <v>0</v>
      </c>
      <c r="BK25" s="855">
        <f>IF(ISBLANK(Tb_Fuel38[[#This Row],[Override4]]),Tb_Fuel38[[#This Row],[Germany - Gas]],Tb_Fuel38[[#This Row],[Override4]])</f>
        <v>2.8250000000000001E-2</v>
      </c>
      <c r="BL25" s="855">
        <f>IF(ISBLANK(Tb_Fuel38[[#This Row],[Override5]]),Tb_Fuel38[[#This Row],[France - Gas]],Tb_Fuel38[[#This Row],[Override5]])</f>
        <v>2.8250000000000001E-2</v>
      </c>
      <c r="BM25" s="855">
        <f>IF(ISBLANK(Tb_Fuel38[[#This Row],[Override6]]),Tb_Fuel38[[#This Row],[Spain - Gas]],Tb_Fuel38[[#This Row],[Override6]])</f>
        <v>2.8250000000000001E-2</v>
      </c>
      <c r="BN25" s="855">
        <f>IF(ISBLANK(Tb_Fuel38[[#This Row],[Override7]]),Tb_Fuel38[[#This Row],[Algeria - Gas]],Tb_Fuel38[[#This Row],[Override7]])</f>
        <v>3.0000000000000001E-3</v>
      </c>
      <c r="BO25" s="855">
        <f>IF(ISBLANK(Tb_Fuel38[[#This Row],[Override8]]),Tb_Fuel38[[#This Row],[Norway - Gas]],Tb_Fuel38[[#This Row],[Override8]])</f>
        <v>8.0000000000000002E-3</v>
      </c>
      <c r="BP25" s="855">
        <f>IF(ISBLANK(Tb_Fuel38[[#This Row],[Override9]]),Tb_Fuel38[[#This Row],[Qatar - Gas]],Tb_Fuel38[[#This Row],[Override9]])</f>
        <v>4.0000000000000001E-3</v>
      </c>
      <c r="BQ25" s="855">
        <f>IF(ISBLANK(Tb_Fuel38[[#This Row],[Override10]]),Tb_Fuel38[[#This Row],[Germany - CO2 Price]],Tb_Fuel38[[#This Row],[Override10]])</f>
        <v>148.81204024689271</v>
      </c>
      <c r="BR25" s="855">
        <f>IF(ISBLANK(Tb_Fuel38[[#This Row],[Override11]]),Tb_Fuel38[[#This Row],[France - CO2 Price]],Tb_Fuel38[[#This Row],[Override11]])</f>
        <v>148.81204024689271</v>
      </c>
      <c r="BS25" s="855">
        <f>IF(ISBLANK(Tb_Fuel38[[#This Row],[Override12]]),Tb_Fuel38[[#This Row],[Spain - CO2 Price]],Tb_Fuel38[[#This Row],[Override12]])</f>
        <v>148.81204024689271</v>
      </c>
      <c r="BT25" s="855">
        <f>IF(ISBLANK(Tb_Fuel38[[#This Row],[Override13]]),Tb_Fuel38[[#This Row],[Algeria - CO2 Price]],Tb_Fuel38[[#This Row],[Override13]])</f>
        <v>0</v>
      </c>
      <c r="BU25" s="855">
        <f>IF(ISBLANK(Tb_Fuel38[[#This Row],[Override14]]),Tb_Fuel38[[#This Row],[Norway - CO2 Price]],Tb_Fuel38[[#This Row],[Override14]])</f>
        <v>148.81204024689271</v>
      </c>
      <c r="BV25" s="855">
        <f>IF(ISBLANK(Tb_Fuel38[[#This Row],[Override15]]),Tb_Fuel38[[#This Row],[Qatar - CO2 Price]],Tb_Fuel38[[#This Row],[Override15]])</f>
        <v>0</v>
      </c>
      <c r="BW25" s="855">
        <f>IF(ISBLANK(Tb_Fuel38[[#This Row],[Override16]]),Tb_Fuel38[[#This Row],[Global - Diesel]],Tb_Fuel38[[#This Row],[Override16]])</f>
        <v>1.3</v>
      </c>
      <c r="BX25" s="855">
        <f>IF(ISBLANK(Tb_Fuel38[[#This Row],[Override17]]),Tb_Fuel38[[#This Row],[Global - HFO]],Tb_Fuel38[[#This Row],[Override17]])</f>
        <v>1.0113910956318826E-2</v>
      </c>
    </row>
    <row r="26" spans="1:76">
      <c r="A26" s="107">
        <v>2043</v>
      </c>
      <c r="B26" s="113">
        <f t="shared" si="3"/>
        <v>0.107</v>
      </c>
      <c r="C26" s="857"/>
      <c r="D26" s="113">
        <f t="shared" si="4"/>
        <v>9.5000000000000001E-2</v>
      </c>
      <c r="E26" s="857"/>
      <c r="F26" s="113">
        <f t="shared" si="15"/>
        <v>0.11</v>
      </c>
      <c r="G26" s="857"/>
      <c r="H26" s="113"/>
      <c r="I26" s="857"/>
      <c r="J26" s="113"/>
      <c r="K26" s="857"/>
      <c r="L26" s="113"/>
      <c r="M26" s="857"/>
      <c r="N26" s="113"/>
      <c r="O26" s="857"/>
      <c r="P26" s="113"/>
      <c r="Q26" s="857"/>
      <c r="R26" s="113"/>
      <c r="S26" s="857"/>
      <c r="T26" s="113">
        <f t="shared" si="5"/>
        <v>2.8250000000000001E-2</v>
      </c>
      <c r="U26" s="857"/>
      <c r="V26" s="113">
        <f t="shared" si="6"/>
        <v>2.8250000000000001E-2</v>
      </c>
      <c r="W26" s="857"/>
      <c r="X26" s="113">
        <f t="shared" si="7"/>
        <v>2.8250000000000001E-2</v>
      </c>
      <c r="Y26" s="857"/>
      <c r="Z26" s="113">
        <f t="shared" si="8"/>
        <v>3.0000000000000001E-3</v>
      </c>
      <c r="AA26" s="857"/>
      <c r="AB26" s="113">
        <f t="shared" si="9"/>
        <v>8.0000000000000002E-3</v>
      </c>
      <c r="AC26" s="857"/>
      <c r="AD26" s="113">
        <f t="shared" si="10"/>
        <v>4.0000000000000001E-3</v>
      </c>
      <c r="AE26" s="857"/>
      <c r="AF26" s="113">
        <f>(AF$33-AF$23)*(Tb_Fuel38[[#This Row],[Year]]-$A$23)/($A$33-$A$23)+AF$23</f>
        <v>151.34860911473746</v>
      </c>
      <c r="AG26" s="857"/>
      <c r="AH26" s="113">
        <f>(AH$33-AH$23)*(Tb_Fuel38[[#This Row],[Year]]-$A$23)/($A$33-$A$23)+AH$23</f>
        <v>151.34860911473746</v>
      </c>
      <c r="AI26" s="857"/>
      <c r="AJ26" s="113">
        <f>(AJ$33-AJ$23)*(Tb_Fuel38[[#This Row],[Year]]-$A$23)/($A$33-$A$23)+AJ$23</f>
        <v>151.34860911473746</v>
      </c>
      <c r="AK26" s="857"/>
      <c r="AL26" s="113">
        <f t="shared" si="11"/>
        <v>0</v>
      </c>
      <c r="AM26" s="857"/>
      <c r="AN26" s="113">
        <f>(AN$33-AN$23)*(Tb_Fuel38[[#This Row],[Year]]-$A$23)/($A$33-$A$23)+AN$23</f>
        <v>151.34860911473746</v>
      </c>
      <c r="AO26" s="857"/>
      <c r="AP26" s="113">
        <f t="shared" si="12"/>
        <v>0</v>
      </c>
      <c r="AQ26" s="857"/>
      <c r="AR26" s="113">
        <f t="shared" si="13"/>
        <v>1.3</v>
      </c>
      <c r="AS26" s="857"/>
      <c r="AT26" s="113">
        <f t="shared" si="14"/>
        <v>1.0113910956318826E-2</v>
      </c>
      <c r="AU26" s="859"/>
      <c r="BA26" s="854">
        <v>2043</v>
      </c>
      <c r="BB26" s="855">
        <f>IF(ISBLANK(Tb_Fuel38[[#This Row],[Override]]),Tb_Fuel38[[#This Row],[Germany - Grid]],Tb_Fuel38[[#This Row],[Override]])</f>
        <v>0.107</v>
      </c>
      <c r="BC26" s="855">
        <f>IF(ISBLANK(Tb_Fuel38[[#This Row],[Override2]]),Tb_Fuel38[[#This Row],[France - Grid]],Tb_Fuel38[[#This Row],[Override2]])</f>
        <v>9.5000000000000001E-2</v>
      </c>
      <c r="BD26" s="855">
        <f>IF(ISBLANK(Tb_Fuel38[[#This Row],[Override3]]),Tb_Fuel38[[#This Row],[Spain - Grid]],Tb_Fuel38[[#This Row],[Override3]])</f>
        <v>0.11</v>
      </c>
      <c r="BE26" s="855">
        <f>IF(ISBLANK(Tb_Fuel38[[#This Row],[Override18]]),Tb_Fuel38[[#This Row],[Germany - Feed-in electricity price]],Tb_Fuel38[[#This Row],[Override18]])</f>
        <v>0</v>
      </c>
      <c r="BF26" s="855">
        <f>IF(ISBLANK(Tb_Fuel38[[#This Row],[Override220]]),Tb_Fuel38[[#This Row],[France - Feed-in electricity price]],Tb_Fuel38[[#This Row],[Override220]])</f>
        <v>0</v>
      </c>
      <c r="BG26" s="855">
        <f>IF(ISBLANK(Tb_Fuel38[[#This Row],[Override322]]),Tb_Fuel38[[#This Row],[Spain - Feed-in electricity price]],Tb_Fuel38[[#This Row],[Override322]])</f>
        <v>0</v>
      </c>
      <c r="BH26" s="855">
        <f>IF(ISBLANK(Tb_Fuel38[[#This Row],[Override183]]),Tb_Fuel38[[#This Row],[Norway - Feed-in electricity price]],Tb_Fuel38[[#This Row],[Override183]])</f>
        <v>0</v>
      </c>
      <c r="BI26" s="855">
        <f>IF(ISBLANK(Tb_Fuel38[[#This Row],[Override2205]]),Tb_Fuel38[[#This Row],[Qatar - Feed-in electricity price]],Tb_Fuel38[[#This Row],[Override2205]])</f>
        <v>0</v>
      </c>
      <c r="BJ26" s="855">
        <f>IF(ISBLANK(Tb_Fuel38[[#This Row],[Override3227]]),Tb_Fuel38[[#This Row],[Algeria - Feed-in electricity price]],Tb_Fuel38[[#This Row],[Override3227]])</f>
        <v>0</v>
      </c>
      <c r="BK26" s="855">
        <f>IF(ISBLANK(Tb_Fuel38[[#This Row],[Override4]]),Tb_Fuel38[[#This Row],[Germany - Gas]],Tb_Fuel38[[#This Row],[Override4]])</f>
        <v>2.8250000000000001E-2</v>
      </c>
      <c r="BL26" s="855">
        <f>IF(ISBLANK(Tb_Fuel38[[#This Row],[Override5]]),Tb_Fuel38[[#This Row],[France - Gas]],Tb_Fuel38[[#This Row],[Override5]])</f>
        <v>2.8250000000000001E-2</v>
      </c>
      <c r="BM26" s="855">
        <f>IF(ISBLANK(Tb_Fuel38[[#This Row],[Override6]]),Tb_Fuel38[[#This Row],[Spain - Gas]],Tb_Fuel38[[#This Row],[Override6]])</f>
        <v>2.8250000000000001E-2</v>
      </c>
      <c r="BN26" s="855">
        <f>IF(ISBLANK(Tb_Fuel38[[#This Row],[Override7]]),Tb_Fuel38[[#This Row],[Algeria - Gas]],Tb_Fuel38[[#This Row],[Override7]])</f>
        <v>3.0000000000000001E-3</v>
      </c>
      <c r="BO26" s="855">
        <f>IF(ISBLANK(Tb_Fuel38[[#This Row],[Override8]]),Tb_Fuel38[[#This Row],[Norway - Gas]],Tb_Fuel38[[#This Row],[Override8]])</f>
        <v>8.0000000000000002E-3</v>
      </c>
      <c r="BP26" s="855">
        <f>IF(ISBLANK(Tb_Fuel38[[#This Row],[Override9]]),Tb_Fuel38[[#This Row],[Qatar - Gas]],Tb_Fuel38[[#This Row],[Override9]])</f>
        <v>4.0000000000000001E-3</v>
      </c>
      <c r="BQ26" s="855">
        <f>IF(ISBLANK(Tb_Fuel38[[#This Row],[Override10]]),Tb_Fuel38[[#This Row],[Germany - CO2 Price]],Tb_Fuel38[[#This Row],[Override10]])</f>
        <v>151.34860911473746</v>
      </c>
      <c r="BR26" s="855">
        <f>IF(ISBLANK(Tb_Fuel38[[#This Row],[Override11]]),Tb_Fuel38[[#This Row],[France - CO2 Price]],Tb_Fuel38[[#This Row],[Override11]])</f>
        <v>151.34860911473746</v>
      </c>
      <c r="BS26" s="855">
        <f>IF(ISBLANK(Tb_Fuel38[[#This Row],[Override12]]),Tb_Fuel38[[#This Row],[Spain - CO2 Price]],Tb_Fuel38[[#This Row],[Override12]])</f>
        <v>151.34860911473746</v>
      </c>
      <c r="BT26" s="855">
        <f>IF(ISBLANK(Tb_Fuel38[[#This Row],[Override13]]),Tb_Fuel38[[#This Row],[Algeria - CO2 Price]],Tb_Fuel38[[#This Row],[Override13]])</f>
        <v>0</v>
      </c>
      <c r="BU26" s="855">
        <f>IF(ISBLANK(Tb_Fuel38[[#This Row],[Override14]]),Tb_Fuel38[[#This Row],[Norway - CO2 Price]],Tb_Fuel38[[#This Row],[Override14]])</f>
        <v>151.34860911473746</v>
      </c>
      <c r="BV26" s="855">
        <f>IF(ISBLANK(Tb_Fuel38[[#This Row],[Override15]]),Tb_Fuel38[[#This Row],[Qatar - CO2 Price]],Tb_Fuel38[[#This Row],[Override15]])</f>
        <v>0</v>
      </c>
      <c r="BW26" s="855">
        <f>IF(ISBLANK(Tb_Fuel38[[#This Row],[Override16]]),Tb_Fuel38[[#This Row],[Global - Diesel]],Tb_Fuel38[[#This Row],[Override16]])</f>
        <v>1.3</v>
      </c>
      <c r="BX26" s="855">
        <f>IF(ISBLANK(Tb_Fuel38[[#This Row],[Override17]]),Tb_Fuel38[[#This Row],[Global - HFO]],Tb_Fuel38[[#This Row],[Override17]])</f>
        <v>1.0113910956318826E-2</v>
      </c>
    </row>
    <row r="27" spans="1:76">
      <c r="A27" s="107">
        <v>2044</v>
      </c>
      <c r="B27" s="113">
        <f t="shared" si="3"/>
        <v>0.107</v>
      </c>
      <c r="C27" s="857"/>
      <c r="D27" s="113">
        <f t="shared" si="4"/>
        <v>9.5000000000000001E-2</v>
      </c>
      <c r="E27" s="857"/>
      <c r="F27" s="113">
        <f t="shared" si="15"/>
        <v>0.11</v>
      </c>
      <c r="G27" s="857"/>
      <c r="H27" s="113"/>
      <c r="I27" s="857"/>
      <c r="J27" s="113"/>
      <c r="K27" s="857"/>
      <c r="L27" s="113"/>
      <c r="M27" s="857"/>
      <c r="N27" s="113"/>
      <c r="O27" s="857"/>
      <c r="P27" s="113"/>
      <c r="Q27" s="857"/>
      <c r="R27" s="113"/>
      <c r="S27" s="857"/>
      <c r="T27" s="113">
        <f t="shared" si="5"/>
        <v>2.8250000000000001E-2</v>
      </c>
      <c r="U27" s="857"/>
      <c r="V27" s="113">
        <f t="shared" si="6"/>
        <v>2.8250000000000001E-2</v>
      </c>
      <c r="W27" s="857"/>
      <c r="X27" s="113">
        <f t="shared" si="7"/>
        <v>2.8250000000000001E-2</v>
      </c>
      <c r="Y27" s="857"/>
      <c r="Z27" s="113">
        <f t="shared" si="8"/>
        <v>3.0000000000000001E-3</v>
      </c>
      <c r="AA27" s="857"/>
      <c r="AB27" s="113">
        <f t="shared" si="9"/>
        <v>8.0000000000000002E-3</v>
      </c>
      <c r="AC27" s="857"/>
      <c r="AD27" s="113">
        <f t="shared" si="10"/>
        <v>4.0000000000000001E-3</v>
      </c>
      <c r="AE27" s="857"/>
      <c r="AF27" s="113">
        <f>(AF$33-AF$23)*(Tb_Fuel38[[#This Row],[Year]]-$A$23)/($A$33-$A$23)+AF$23</f>
        <v>153.88517798258223</v>
      </c>
      <c r="AG27" s="857"/>
      <c r="AH27" s="113">
        <f>(AH$33-AH$23)*(Tb_Fuel38[[#This Row],[Year]]-$A$23)/($A$33-$A$23)+AH$23</f>
        <v>153.88517798258223</v>
      </c>
      <c r="AI27" s="857"/>
      <c r="AJ27" s="113">
        <f>(AJ$33-AJ$23)*(Tb_Fuel38[[#This Row],[Year]]-$A$23)/($A$33-$A$23)+AJ$23</f>
        <v>153.88517798258223</v>
      </c>
      <c r="AK27" s="857"/>
      <c r="AL27" s="113">
        <f t="shared" si="11"/>
        <v>0</v>
      </c>
      <c r="AM27" s="857"/>
      <c r="AN27" s="113">
        <f>(AN$33-AN$23)*(Tb_Fuel38[[#This Row],[Year]]-$A$23)/($A$33-$A$23)+AN$23</f>
        <v>153.88517798258223</v>
      </c>
      <c r="AO27" s="857"/>
      <c r="AP27" s="113">
        <f t="shared" si="12"/>
        <v>0</v>
      </c>
      <c r="AQ27" s="857"/>
      <c r="AR27" s="113">
        <f t="shared" si="13"/>
        <v>1.3</v>
      </c>
      <c r="AS27" s="857"/>
      <c r="AT27" s="113">
        <f t="shared" si="14"/>
        <v>1.0113910956318826E-2</v>
      </c>
      <c r="AU27" s="859"/>
      <c r="BA27" s="854">
        <v>2044</v>
      </c>
      <c r="BB27" s="855">
        <f>IF(ISBLANK(Tb_Fuel38[[#This Row],[Override]]),Tb_Fuel38[[#This Row],[Germany - Grid]],Tb_Fuel38[[#This Row],[Override]])</f>
        <v>0.107</v>
      </c>
      <c r="BC27" s="855">
        <f>IF(ISBLANK(Tb_Fuel38[[#This Row],[Override2]]),Tb_Fuel38[[#This Row],[France - Grid]],Tb_Fuel38[[#This Row],[Override2]])</f>
        <v>9.5000000000000001E-2</v>
      </c>
      <c r="BD27" s="855">
        <f>IF(ISBLANK(Tb_Fuel38[[#This Row],[Override3]]),Tb_Fuel38[[#This Row],[Spain - Grid]],Tb_Fuel38[[#This Row],[Override3]])</f>
        <v>0.11</v>
      </c>
      <c r="BE27" s="855">
        <f>IF(ISBLANK(Tb_Fuel38[[#This Row],[Override18]]),Tb_Fuel38[[#This Row],[Germany - Feed-in electricity price]],Tb_Fuel38[[#This Row],[Override18]])</f>
        <v>0</v>
      </c>
      <c r="BF27" s="855">
        <f>IF(ISBLANK(Tb_Fuel38[[#This Row],[Override220]]),Tb_Fuel38[[#This Row],[France - Feed-in electricity price]],Tb_Fuel38[[#This Row],[Override220]])</f>
        <v>0</v>
      </c>
      <c r="BG27" s="855">
        <f>IF(ISBLANK(Tb_Fuel38[[#This Row],[Override322]]),Tb_Fuel38[[#This Row],[Spain - Feed-in electricity price]],Tb_Fuel38[[#This Row],[Override322]])</f>
        <v>0</v>
      </c>
      <c r="BH27" s="855">
        <f>IF(ISBLANK(Tb_Fuel38[[#This Row],[Override183]]),Tb_Fuel38[[#This Row],[Norway - Feed-in electricity price]],Tb_Fuel38[[#This Row],[Override183]])</f>
        <v>0</v>
      </c>
      <c r="BI27" s="855">
        <f>IF(ISBLANK(Tb_Fuel38[[#This Row],[Override2205]]),Tb_Fuel38[[#This Row],[Qatar - Feed-in electricity price]],Tb_Fuel38[[#This Row],[Override2205]])</f>
        <v>0</v>
      </c>
      <c r="BJ27" s="855">
        <f>IF(ISBLANK(Tb_Fuel38[[#This Row],[Override3227]]),Tb_Fuel38[[#This Row],[Algeria - Feed-in electricity price]],Tb_Fuel38[[#This Row],[Override3227]])</f>
        <v>0</v>
      </c>
      <c r="BK27" s="855">
        <f>IF(ISBLANK(Tb_Fuel38[[#This Row],[Override4]]),Tb_Fuel38[[#This Row],[Germany - Gas]],Tb_Fuel38[[#This Row],[Override4]])</f>
        <v>2.8250000000000001E-2</v>
      </c>
      <c r="BL27" s="855">
        <f>IF(ISBLANK(Tb_Fuel38[[#This Row],[Override5]]),Tb_Fuel38[[#This Row],[France - Gas]],Tb_Fuel38[[#This Row],[Override5]])</f>
        <v>2.8250000000000001E-2</v>
      </c>
      <c r="BM27" s="855">
        <f>IF(ISBLANK(Tb_Fuel38[[#This Row],[Override6]]),Tb_Fuel38[[#This Row],[Spain - Gas]],Tb_Fuel38[[#This Row],[Override6]])</f>
        <v>2.8250000000000001E-2</v>
      </c>
      <c r="BN27" s="855">
        <f>IF(ISBLANK(Tb_Fuel38[[#This Row],[Override7]]),Tb_Fuel38[[#This Row],[Algeria - Gas]],Tb_Fuel38[[#This Row],[Override7]])</f>
        <v>3.0000000000000001E-3</v>
      </c>
      <c r="BO27" s="855">
        <f>IF(ISBLANK(Tb_Fuel38[[#This Row],[Override8]]),Tb_Fuel38[[#This Row],[Norway - Gas]],Tb_Fuel38[[#This Row],[Override8]])</f>
        <v>8.0000000000000002E-3</v>
      </c>
      <c r="BP27" s="855">
        <f>IF(ISBLANK(Tb_Fuel38[[#This Row],[Override9]]),Tb_Fuel38[[#This Row],[Qatar - Gas]],Tb_Fuel38[[#This Row],[Override9]])</f>
        <v>4.0000000000000001E-3</v>
      </c>
      <c r="BQ27" s="855">
        <f>IF(ISBLANK(Tb_Fuel38[[#This Row],[Override10]]),Tb_Fuel38[[#This Row],[Germany - CO2 Price]],Tb_Fuel38[[#This Row],[Override10]])</f>
        <v>153.88517798258223</v>
      </c>
      <c r="BR27" s="855">
        <f>IF(ISBLANK(Tb_Fuel38[[#This Row],[Override11]]),Tb_Fuel38[[#This Row],[France - CO2 Price]],Tb_Fuel38[[#This Row],[Override11]])</f>
        <v>153.88517798258223</v>
      </c>
      <c r="BS27" s="855">
        <f>IF(ISBLANK(Tb_Fuel38[[#This Row],[Override12]]),Tb_Fuel38[[#This Row],[Spain - CO2 Price]],Tb_Fuel38[[#This Row],[Override12]])</f>
        <v>153.88517798258223</v>
      </c>
      <c r="BT27" s="855">
        <f>IF(ISBLANK(Tb_Fuel38[[#This Row],[Override13]]),Tb_Fuel38[[#This Row],[Algeria - CO2 Price]],Tb_Fuel38[[#This Row],[Override13]])</f>
        <v>0</v>
      </c>
      <c r="BU27" s="855">
        <f>IF(ISBLANK(Tb_Fuel38[[#This Row],[Override14]]),Tb_Fuel38[[#This Row],[Norway - CO2 Price]],Tb_Fuel38[[#This Row],[Override14]])</f>
        <v>153.88517798258223</v>
      </c>
      <c r="BV27" s="855">
        <f>IF(ISBLANK(Tb_Fuel38[[#This Row],[Override15]]),Tb_Fuel38[[#This Row],[Qatar - CO2 Price]],Tb_Fuel38[[#This Row],[Override15]])</f>
        <v>0</v>
      </c>
      <c r="BW27" s="855">
        <f>IF(ISBLANK(Tb_Fuel38[[#This Row],[Override16]]),Tb_Fuel38[[#This Row],[Global - Diesel]],Tb_Fuel38[[#This Row],[Override16]])</f>
        <v>1.3</v>
      </c>
      <c r="BX27" s="855">
        <f>IF(ISBLANK(Tb_Fuel38[[#This Row],[Override17]]),Tb_Fuel38[[#This Row],[Global - HFO]],Tb_Fuel38[[#This Row],[Override17]])</f>
        <v>1.0113910956318826E-2</v>
      </c>
    </row>
    <row r="28" spans="1:76">
      <c r="A28" s="107">
        <v>2045</v>
      </c>
      <c r="B28" s="113">
        <f t="shared" si="3"/>
        <v>0.107</v>
      </c>
      <c r="C28" s="857"/>
      <c r="D28" s="113">
        <f t="shared" si="4"/>
        <v>9.5000000000000001E-2</v>
      </c>
      <c r="E28" s="857"/>
      <c r="F28" s="113">
        <f t="shared" si="15"/>
        <v>0.11</v>
      </c>
      <c r="G28" s="857"/>
      <c r="H28" s="113"/>
      <c r="I28" s="857"/>
      <c r="J28" s="113"/>
      <c r="K28" s="857"/>
      <c r="L28" s="113"/>
      <c r="M28" s="857"/>
      <c r="N28" s="113"/>
      <c r="O28" s="857"/>
      <c r="P28" s="113"/>
      <c r="Q28" s="857"/>
      <c r="R28" s="113"/>
      <c r="S28" s="857"/>
      <c r="T28" s="113">
        <f t="shared" si="5"/>
        <v>2.8250000000000001E-2</v>
      </c>
      <c r="U28" s="857"/>
      <c r="V28" s="113">
        <f t="shared" si="6"/>
        <v>2.8250000000000001E-2</v>
      </c>
      <c r="W28" s="857"/>
      <c r="X28" s="113">
        <f t="shared" si="7"/>
        <v>2.8250000000000001E-2</v>
      </c>
      <c r="Y28" s="857"/>
      <c r="Z28" s="113">
        <f t="shared" si="8"/>
        <v>3.0000000000000001E-3</v>
      </c>
      <c r="AA28" s="857"/>
      <c r="AB28" s="113">
        <f t="shared" si="9"/>
        <v>8.0000000000000002E-3</v>
      </c>
      <c r="AC28" s="857"/>
      <c r="AD28" s="113">
        <f t="shared" si="10"/>
        <v>4.0000000000000001E-3</v>
      </c>
      <c r="AE28" s="857"/>
      <c r="AF28" s="113">
        <f>(AF$33-AF$23)*(Tb_Fuel38[[#This Row],[Year]]-$A$23)/($A$33-$A$23)+AF$23</f>
        <v>156.42174685042698</v>
      </c>
      <c r="AG28" s="857"/>
      <c r="AH28" s="113">
        <f>(AH$33-AH$23)*(Tb_Fuel38[[#This Row],[Year]]-$A$23)/($A$33-$A$23)+AH$23</f>
        <v>156.42174685042698</v>
      </c>
      <c r="AI28" s="857"/>
      <c r="AJ28" s="113">
        <f>(AJ$33-AJ$23)*(Tb_Fuel38[[#This Row],[Year]]-$A$23)/($A$33-$A$23)+AJ$23</f>
        <v>156.42174685042698</v>
      </c>
      <c r="AK28" s="857"/>
      <c r="AL28" s="113">
        <f t="shared" si="11"/>
        <v>0</v>
      </c>
      <c r="AM28" s="857"/>
      <c r="AN28" s="113">
        <f>(AN$33-AN$23)*(Tb_Fuel38[[#This Row],[Year]]-$A$23)/($A$33-$A$23)+AN$23</f>
        <v>156.42174685042698</v>
      </c>
      <c r="AO28" s="857"/>
      <c r="AP28" s="113">
        <f t="shared" si="12"/>
        <v>0</v>
      </c>
      <c r="AQ28" s="857"/>
      <c r="AR28" s="113">
        <f t="shared" si="13"/>
        <v>1.3</v>
      </c>
      <c r="AS28" s="857"/>
      <c r="AT28" s="113">
        <f t="shared" si="14"/>
        <v>1.0113910956318826E-2</v>
      </c>
      <c r="AU28" s="859"/>
      <c r="BA28" s="854">
        <v>2045</v>
      </c>
      <c r="BB28" s="855">
        <f>IF(ISBLANK(Tb_Fuel38[[#This Row],[Override]]),Tb_Fuel38[[#This Row],[Germany - Grid]],Tb_Fuel38[[#This Row],[Override]])</f>
        <v>0.107</v>
      </c>
      <c r="BC28" s="855">
        <f>IF(ISBLANK(Tb_Fuel38[[#This Row],[Override2]]),Tb_Fuel38[[#This Row],[France - Grid]],Tb_Fuel38[[#This Row],[Override2]])</f>
        <v>9.5000000000000001E-2</v>
      </c>
      <c r="BD28" s="855">
        <f>IF(ISBLANK(Tb_Fuel38[[#This Row],[Override3]]),Tb_Fuel38[[#This Row],[Spain - Grid]],Tb_Fuel38[[#This Row],[Override3]])</f>
        <v>0.11</v>
      </c>
      <c r="BE28" s="855">
        <f>IF(ISBLANK(Tb_Fuel38[[#This Row],[Override18]]),Tb_Fuel38[[#This Row],[Germany - Feed-in electricity price]],Tb_Fuel38[[#This Row],[Override18]])</f>
        <v>0</v>
      </c>
      <c r="BF28" s="855">
        <f>IF(ISBLANK(Tb_Fuel38[[#This Row],[Override220]]),Tb_Fuel38[[#This Row],[France - Feed-in electricity price]],Tb_Fuel38[[#This Row],[Override220]])</f>
        <v>0</v>
      </c>
      <c r="BG28" s="855">
        <f>IF(ISBLANK(Tb_Fuel38[[#This Row],[Override322]]),Tb_Fuel38[[#This Row],[Spain - Feed-in electricity price]],Tb_Fuel38[[#This Row],[Override322]])</f>
        <v>0</v>
      </c>
      <c r="BH28" s="855">
        <f>IF(ISBLANK(Tb_Fuel38[[#This Row],[Override183]]),Tb_Fuel38[[#This Row],[Norway - Feed-in electricity price]],Tb_Fuel38[[#This Row],[Override183]])</f>
        <v>0</v>
      </c>
      <c r="BI28" s="855">
        <f>IF(ISBLANK(Tb_Fuel38[[#This Row],[Override2205]]),Tb_Fuel38[[#This Row],[Qatar - Feed-in electricity price]],Tb_Fuel38[[#This Row],[Override2205]])</f>
        <v>0</v>
      </c>
      <c r="BJ28" s="855">
        <f>IF(ISBLANK(Tb_Fuel38[[#This Row],[Override3227]]),Tb_Fuel38[[#This Row],[Algeria - Feed-in electricity price]],Tb_Fuel38[[#This Row],[Override3227]])</f>
        <v>0</v>
      </c>
      <c r="BK28" s="855">
        <f>IF(ISBLANK(Tb_Fuel38[[#This Row],[Override4]]),Tb_Fuel38[[#This Row],[Germany - Gas]],Tb_Fuel38[[#This Row],[Override4]])</f>
        <v>2.8250000000000001E-2</v>
      </c>
      <c r="BL28" s="855">
        <f>IF(ISBLANK(Tb_Fuel38[[#This Row],[Override5]]),Tb_Fuel38[[#This Row],[France - Gas]],Tb_Fuel38[[#This Row],[Override5]])</f>
        <v>2.8250000000000001E-2</v>
      </c>
      <c r="BM28" s="855">
        <f>IF(ISBLANK(Tb_Fuel38[[#This Row],[Override6]]),Tb_Fuel38[[#This Row],[Spain - Gas]],Tb_Fuel38[[#This Row],[Override6]])</f>
        <v>2.8250000000000001E-2</v>
      </c>
      <c r="BN28" s="855">
        <f>IF(ISBLANK(Tb_Fuel38[[#This Row],[Override7]]),Tb_Fuel38[[#This Row],[Algeria - Gas]],Tb_Fuel38[[#This Row],[Override7]])</f>
        <v>3.0000000000000001E-3</v>
      </c>
      <c r="BO28" s="855">
        <f>IF(ISBLANK(Tb_Fuel38[[#This Row],[Override8]]),Tb_Fuel38[[#This Row],[Norway - Gas]],Tb_Fuel38[[#This Row],[Override8]])</f>
        <v>8.0000000000000002E-3</v>
      </c>
      <c r="BP28" s="855">
        <f>IF(ISBLANK(Tb_Fuel38[[#This Row],[Override9]]),Tb_Fuel38[[#This Row],[Qatar - Gas]],Tb_Fuel38[[#This Row],[Override9]])</f>
        <v>4.0000000000000001E-3</v>
      </c>
      <c r="BQ28" s="855">
        <f>IF(ISBLANK(Tb_Fuel38[[#This Row],[Override10]]),Tb_Fuel38[[#This Row],[Germany - CO2 Price]],Tb_Fuel38[[#This Row],[Override10]])</f>
        <v>156.42174685042698</v>
      </c>
      <c r="BR28" s="855">
        <f>IF(ISBLANK(Tb_Fuel38[[#This Row],[Override11]]),Tb_Fuel38[[#This Row],[France - CO2 Price]],Tb_Fuel38[[#This Row],[Override11]])</f>
        <v>156.42174685042698</v>
      </c>
      <c r="BS28" s="855">
        <f>IF(ISBLANK(Tb_Fuel38[[#This Row],[Override12]]),Tb_Fuel38[[#This Row],[Spain - CO2 Price]],Tb_Fuel38[[#This Row],[Override12]])</f>
        <v>156.42174685042698</v>
      </c>
      <c r="BT28" s="855">
        <f>IF(ISBLANK(Tb_Fuel38[[#This Row],[Override13]]),Tb_Fuel38[[#This Row],[Algeria - CO2 Price]],Tb_Fuel38[[#This Row],[Override13]])</f>
        <v>0</v>
      </c>
      <c r="BU28" s="855">
        <f>IF(ISBLANK(Tb_Fuel38[[#This Row],[Override14]]),Tb_Fuel38[[#This Row],[Norway - CO2 Price]],Tb_Fuel38[[#This Row],[Override14]])</f>
        <v>156.42174685042698</v>
      </c>
      <c r="BV28" s="855">
        <f>IF(ISBLANK(Tb_Fuel38[[#This Row],[Override15]]),Tb_Fuel38[[#This Row],[Qatar - CO2 Price]],Tb_Fuel38[[#This Row],[Override15]])</f>
        <v>0</v>
      </c>
      <c r="BW28" s="855">
        <f>IF(ISBLANK(Tb_Fuel38[[#This Row],[Override16]]),Tb_Fuel38[[#This Row],[Global - Diesel]],Tb_Fuel38[[#This Row],[Override16]])</f>
        <v>1.3</v>
      </c>
      <c r="BX28" s="855">
        <f>IF(ISBLANK(Tb_Fuel38[[#This Row],[Override17]]),Tb_Fuel38[[#This Row],[Global - HFO]],Tb_Fuel38[[#This Row],[Override17]])</f>
        <v>1.0113910956318826E-2</v>
      </c>
    </row>
    <row r="29" spans="1:76">
      <c r="A29" s="107">
        <v>2046</v>
      </c>
      <c r="B29" s="113">
        <f t="shared" si="3"/>
        <v>0.107</v>
      </c>
      <c r="C29" s="857"/>
      <c r="D29" s="113">
        <f t="shared" si="4"/>
        <v>9.5000000000000001E-2</v>
      </c>
      <c r="E29" s="857"/>
      <c r="F29" s="113">
        <f t="shared" si="15"/>
        <v>0.11</v>
      </c>
      <c r="G29" s="857"/>
      <c r="H29" s="113"/>
      <c r="I29" s="857"/>
      <c r="J29" s="113"/>
      <c r="K29" s="857"/>
      <c r="L29" s="113"/>
      <c r="M29" s="857"/>
      <c r="N29" s="113"/>
      <c r="O29" s="857"/>
      <c r="P29" s="113"/>
      <c r="Q29" s="857"/>
      <c r="R29" s="113"/>
      <c r="S29" s="857"/>
      <c r="T29" s="113">
        <f t="shared" si="5"/>
        <v>2.8250000000000001E-2</v>
      </c>
      <c r="U29" s="857"/>
      <c r="V29" s="113">
        <f t="shared" si="6"/>
        <v>2.8250000000000001E-2</v>
      </c>
      <c r="W29" s="857"/>
      <c r="X29" s="113">
        <f t="shared" si="7"/>
        <v>2.8250000000000001E-2</v>
      </c>
      <c r="Y29" s="857"/>
      <c r="Z29" s="113">
        <f t="shared" si="8"/>
        <v>3.0000000000000001E-3</v>
      </c>
      <c r="AA29" s="857"/>
      <c r="AB29" s="113">
        <f t="shared" si="9"/>
        <v>8.0000000000000002E-3</v>
      </c>
      <c r="AC29" s="857"/>
      <c r="AD29" s="113">
        <f t="shared" si="10"/>
        <v>4.0000000000000001E-3</v>
      </c>
      <c r="AE29" s="857"/>
      <c r="AF29" s="113">
        <f>(AF$33-AF$23)*(Tb_Fuel38[[#This Row],[Year]]-$A$23)/($A$33-$A$23)+AF$23</f>
        <v>158.95831571827173</v>
      </c>
      <c r="AG29" s="857"/>
      <c r="AH29" s="113">
        <f>(AH$33-AH$23)*(Tb_Fuel38[[#This Row],[Year]]-$A$23)/($A$33-$A$23)+AH$23</f>
        <v>158.95831571827173</v>
      </c>
      <c r="AI29" s="857"/>
      <c r="AJ29" s="113">
        <f>(AJ$33-AJ$23)*(Tb_Fuel38[[#This Row],[Year]]-$A$23)/($A$33-$A$23)+AJ$23</f>
        <v>158.95831571827173</v>
      </c>
      <c r="AK29" s="857"/>
      <c r="AL29" s="113">
        <f t="shared" si="11"/>
        <v>0</v>
      </c>
      <c r="AM29" s="857"/>
      <c r="AN29" s="113">
        <f>(AN$33-AN$23)*(Tb_Fuel38[[#This Row],[Year]]-$A$23)/($A$33-$A$23)+AN$23</f>
        <v>158.95831571827173</v>
      </c>
      <c r="AO29" s="857"/>
      <c r="AP29" s="113">
        <f t="shared" si="12"/>
        <v>0</v>
      </c>
      <c r="AQ29" s="857"/>
      <c r="AR29" s="113">
        <f t="shared" si="13"/>
        <v>1.3</v>
      </c>
      <c r="AS29" s="857"/>
      <c r="AT29" s="113">
        <f t="shared" si="14"/>
        <v>1.0113910956318826E-2</v>
      </c>
      <c r="AU29" s="859"/>
      <c r="BA29" s="854">
        <v>2046</v>
      </c>
      <c r="BB29" s="855">
        <f>IF(ISBLANK(Tb_Fuel38[[#This Row],[Override]]),Tb_Fuel38[[#This Row],[Germany - Grid]],Tb_Fuel38[[#This Row],[Override]])</f>
        <v>0.107</v>
      </c>
      <c r="BC29" s="855">
        <f>IF(ISBLANK(Tb_Fuel38[[#This Row],[Override2]]),Tb_Fuel38[[#This Row],[France - Grid]],Tb_Fuel38[[#This Row],[Override2]])</f>
        <v>9.5000000000000001E-2</v>
      </c>
      <c r="BD29" s="855">
        <f>IF(ISBLANK(Tb_Fuel38[[#This Row],[Override3]]),Tb_Fuel38[[#This Row],[Spain - Grid]],Tb_Fuel38[[#This Row],[Override3]])</f>
        <v>0.11</v>
      </c>
      <c r="BE29" s="855">
        <f>IF(ISBLANK(Tb_Fuel38[[#This Row],[Override18]]),Tb_Fuel38[[#This Row],[Germany - Feed-in electricity price]],Tb_Fuel38[[#This Row],[Override18]])</f>
        <v>0</v>
      </c>
      <c r="BF29" s="855">
        <f>IF(ISBLANK(Tb_Fuel38[[#This Row],[Override220]]),Tb_Fuel38[[#This Row],[France - Feed-in electricity price]],Tb_Fuel38[[#This Row],[Override220]])</f>
        <v>0</v>
      </c>
      <c r="BG29" s="855">
        <f>IF(ISBLANK(Tb_Fuel38[[#This Row],[Override322]]),Tb_Fuel38[[#This Row],[Spain - Feed-in electricity price]],Tb_Fuel38[[#This Row],[Override322]])</f>
        <v>0</v>
      </c>
      <c r="BH29" s="855">
        <f>IF(ISBLANK(Tb_Fuel38[[#This Row],[Override183]]),Tb_Fuel38[[#This Row],[Norway - Feed-in electricity price]],Tb_Fuel38[[#This Row],[Override183]])</f>
        <v>0</v>
      </c>
      <c r="BI29" s="855">
        <f>IF(ISBLANK(Tb_Fuel38[[#This Row],[Override2205]]),Tb_Fuel38[[#This Row],[Qatar - Feed-in electricity price]],Tb_Fuel38[[#This Row],[Override2205]])</f>
        <v>0</v>
      </c>
      <c r="BJ29" s="855">
        <f>IF(ISBLANK(Tb_Fuel38[[#This Row],[Override3227]]),Tb_Fuel38[[#This Row],[Algeria - Feed-in electricity price]],Tb_Fuel38[[#This Row],[Override3227]])</f>
        <v>0</v>
      </c>
      <c r="BK29" s="855">
        <f>IF(ISBLANK(Tb_Fuel38[[#This Row],[Override4]]),Tb_Fuel38[[#This Row],[Germany - Gas]],Tb_Fuel38[[#This Row],[Override4]])</f>
        <v>2.8250000000000001E-2</v>
      </c>
      <c r="BL29" s="855">
        <f>IF(ISBLANK(Tb_Fuel38[[#This Row],[Override5]]),Tb_Fuel38[[#This Row],[France - Gas]],Tb_Fuel38[[#This Row],[Override5]])</f>
        <v>2.8250000000000001E-2</v>
      </c>
      <c r="BM29" s="855">
        <f>IF(ISBLANK(Tb_Fuel38[[#This Row],[Override6]]),Tb_Fuel38[[#This Row],[Spain - Gas]],Tb_Fuel38[[#This Row],[Override6]])</f>
        <v>2.8250000000000001E-2</v>
      </c>
      <c r="BN29" s="855">
        <f>IF(ISBLANK(Tb_Fuel38[[#This Row],[Override7]]),Tb_Fuel38[[#This Row],[Algeria - Gas]],Tb_Fuel38[[#This Row],[Override7]])</f>
        <v>3.0000000000000001E-3</v>
      </c>
      <c r="BO29" s="855">
        <f>IF(ISBLANK(Tb_Fuel38[[#This Row],[Override8]]),Tb_Fuel38[[#This Row],[Norway - Gas]],Tb_Fuel38[[#This Row],[Override8]])</f>
        <v>8.0000000000000002E-3</v>
      </c>
      <c r="BP29" s="855">
        <f>IF(ISBLANK(Tb_Fuel38[[#This Row],[Override9]]),Tb_Fuel38[[#This Row],[Qatar - Gas]],Tb_Fuel38[[#This Row],[Override9]])</f>
        <v>4.0000000000000001E-3</v>
      </c>
      <c r="BQ29" s="855">
        <f>IF(ISBLANK(Tb_Fuel38[[#This Row],[Override10]]),Tb_Fuel38[[#This Row],[Germany - CO2 Price]],Tb_Fuel38[[#This Row],[Override10]])</f>
        <v>158.95831571827173</v>
      </c>
      <c r="BR29" s="855">
        <f>IF(ISBLANK(Tb_Fuel38[[#This Row],[Override11]]),Tb_Fuel38[[#This Row],[France - CO2 Price]],Tb_Fuel38[[#This Row],[Override11]])</f>
        <v>158.95831571827173</v>
      </c>
      <c r="BS29" s="855">
        <f>IF(ISBLANK(Tb_Fuel38[[#This Row],[Override12]]),Tb_Fuel38[[#This Row],[Spain - CO2 Price]],Tb_Fuel38[[#This Row],[Override12]])</f>
        <v>158.95831571827173</v>
      </c>
      <c r="BT29" s="855">
        <f>IF(ISBLANK(Tb_Fuel38[[#This Row],[Override13]]),Tb_Fuel38[[#This Row],[Algeria - CO2 Price]],Tb_Fuel38[[#This Row],[Override13]])</f>
        <v>0</v>
      </c>
      <c r="BU29" s="855">
        <f>IF(ISBLANK(Tb_Fuel38[[#This Row],[Override14]]),Tb_Fuel38[[#This Row],[Norway - CO2 Price]],Tb_Fuel38[[#This Row],[Override14]])</f>
        <v>158.95831571827173</v>
      </c>
      <c r="BV29" s="855">
        <f>IF(ISBLANK(Tb_Fuel38[[#This Row],[Override15]]),Tb_Fuel38[[#This Row],[Qatar - CO2 Price]],Tb_Fuel38[[#This Row],[Override15]])</f>
        <v>0</v>
      </c>
      <c r="BW29" s="855">
        <f>IF(ISBLANK(Tb_Fuel38[[#This Row],[Override16]]),Tb_Fuel38[[#This Row],[Global - Diesel]],Tb_Fuel38[[#This Row],[Override16]])</f>
        <v>1.3</v>
      </c>
      <c r="BX29" s="855">
        <f>IF(ISBLANK(Tb_Fuel38[[#This Row],[Override17]]),Tb_Fuel38[[#This Row],[Global - HFO]],Tb_Fuel38[[#This Row],[Override17]])</f>
        <v>1.0113910956318826E-2</v>
      </c>
    </row>
    <row r="30" spans="1:76">
      <c r="A30" s="107">
        <v>2047</v>
      </c>
      <c r="B30" s="113">
        <f t="shared" si="3"/>
        <v>0.107</v>
      </c>
      <c r="C30" s="857"/>
      <c r="D30" s="113">
        <f t="shared" si="4"/>
        <v>9.5000000000000001E-2</v>
      </c>
      <c r="E30" s="857"/>
      <c r="F30" s="113">
        <f t="shared" si="15"/>
        <v>0.11</v>
      </c>
      <c r="G30" s="857"/>
      <c r="H30" s="113"/>
      <c r="I30" s="857"/>
      <c r="J30" s="113"/>
      <c r="K30" s="857"/>
      <c r="L30" s="113"/>
      <c r="M30" s="857"/>
      <c r="N30" s="113"/>
      <c r="O30" s="857"/>
      <c r="P30" s="113"/>
      <c r="Q30" s="857"/>
      <c r="R30" s="113"/>
      <c r="S30" s="857"/>
      <c r="T30" s="113">
        <f t="shared" si="5"/>
        <v>2.8250000000000001E-2</v>
      </c>
      <c r="U30" s="857"/>
      <c r="V30" s="113">
        <f t="shared" si="6"/>
        <v>2.8250000000000001E-2</v>
      </c>
      <c r="W30" s="857"/>
      <c r="X30" s="113">
        <f t="shared" si="7"/>
        <v>2.8250000000000001E-2</v>
      </c>
      <c r="Y30" s="857"/>
      <c r="Z30" s="113">
        <f t="shared" si="8"/>
        <v>3.0000000000000001E-3</v>
      </c>
      <c r="AA30" s="857"/>
      <c r="AB30" s="113">
        <f t="shared" si="9"/>
        <v>8.0000000000000002E-3</v>
      </c>
      <c r="AC30" s="857"/>
      <c r="AD30" s="113">
        <f t="shared" si="10"/>
        <v>4.0000000000000001E-3</v>
      </c>
      <c r="AE30" s="857"/>
      <c r="AF30" s="113">
        <f>(AF$33-AF$23)*(Tb_Fuel38[[#This Row],[Year]]-$A$23)/($A$33-$A$23)+AF$23</f>
        <v>161.49488458611651</v>
      </c>
      <c r="AG30" s="857"/>
      <c r="AH30" s="113">
        <f>(AH$33-AH$23)*(Tb_Fuel38[[#This Row],[Year]]-$A$23)/($A$33-$A$23)+AH$23</f>
        <v>161.49488458611651</v>
      </c>
      <c r="AI30" s="857"/>
      <c r="AJ30" s="113">
        <f>(AJ$33-AJ$23)*(Tb_Fuel38[[#This Row],[Year]]-$A$23)/($A$33-$A$23)+AJ$23</f>
        <v>161.49488458611651</v>
      </c>
      <c r="AK30" s="857"/>
      <c r="AL30" s="113">
        <f t="shared" si="11"/>
        <v>0</v>
      </c>
      <c r="AM30" s="857"/>
      <c r="AN30" s="113">
        <f>(AN$33-AN$23)*(Tb_Fuel38[[#This Row],[Year]]-$A$23)/($A$33-$A$23)+AN$23</f>
        <v>161.49488458611651</v>
      </c>
      <c r="AO30" s="857"/>
      <c r="AP30" s="113">
        <f t="shared" si="12"/>
        <v>0</v>
      </c>
      <c r="AQ30" s="857"/>
      <c r="AR30" s="113">
        <f t="shared" si="13"/>
        <v>1.3</v>
      </c>
      <c r="AS30" s="857"/>
      <c r="AT30" s="113">
        <f t="shared" si="14"/>
        <v>1.0113910956318826E-2</v>
      </c>
      <c r="AU30" s="859"/>
      <c r="BA30" s="854">
        <v>2047</v>
      </c>
      <c r="BB30" s="855">
        <f>IF(ISBLANK(Tb_Fuel38[[#This Row],[Override]]),Tb_Fuel38[[#This Row],[Germany - Grid]],Tb_Fuel38[[#This Row],[Override]])</f>
        <v>0.107</v>
      </c>
      <c r="BC30" s="855">
        <f>IF(ISBLANK(Tb_Fuel38[[#This Row],[Override2]]),Tb_Fuel38[[#This Row],[France - Grid]],Tb_Fuel38[[#This Row],[Override2]])</f>
        <v>9.5000000000000001E-2</v>
      </c>
      <c r="BD30" s="855">
        <f>IF(ISBLANK(Tb_Fuel38[[#This Row],[Override3]]),Tb_Fuel38[[#This Row],[Spain - Grid]],Tb_Fuel38[[#This Row],[Override3]])</f>
        <v>0.11</v>
      </c>
      <c r="BE30" s="855">
        <f>IF(ISBLANK(Tb_Fuel38[[#This Row],[Override18]]),Tb_Fuel38[[#This Row],[Germany - Feed-in electricity price]],Tb_Fuel38[[#This Row],[Override18]])</f>
        <v>0</v>
      </c>
      <c r="BF30" s="855">
        <f>IF(ISBLANK(Tb_Fuel38[[#This Row],[Override220]]),Tb_Fuel38[[#This Row],[France - Feed-in electricity price]],Tb_Fuel38[[#This Row],[Override220]])</f>
        <v>0</v>
      </c>
      <c r="BG30" s="855">
        <f>IF(ISBLANK(Tb_Fuel38[[#This Row],[Override322]]),Tb_Fuel38[[#This Row],[Spain - Feed-in electricity price]],Tb_Fuel38[[#This Row],[Override322]])</f>
        <v>0</v>
      </c>
      <c r="BH30" s="855">
        <f>IF(ISBLANK(Tb_Fuel38[[#This Row],[Override183]]),Tb_Fuel38[[#This Row],[Norway - Feed-in electricity price]],Tb_Fuel38[[#This Row],[Override183]])</f>
        <v>0</v>
      </c>
      <c r="BI30" s="855">
        <f>IF(ISBLANK(Tb_Fuel38[[#This Row],[Override2205]]),Tb_Fuel38[[#This Row],[Qatar - Feed-in electricity price]],Tb_Fuel38[[#This Row],[Override2205]])</f>
        <v>0</v>
      </c>
      <c r="BJ30" s="855">
        <f>IF(ISBLANK(Tb_Fuel38[[#This Row],[Override3227]]),Tb_Fuel38[[#This Row],[Algeria - Feed-in electricity price]],Tb_Fuel38[[#This Row],[Override3227]])</f>
        <v>0</v>
      </c>
      <c r="BK30" s="855">
        <f>IF(ISBLANK(Tb_Fuel38[[#This Row],[Override4]]),Tb_Fuel38[[#This Row],[Germany - Gas]],Tb_Fuel38[[#This Row],[Override4]])</f>
        <v>2.8250000000000001E-2</v>
      </c>
      <c r="BL30" s="855">
        <f>IF(ISBLANK(Tb_Fuel38[[#This Row],[Override5]]),Tb_Fuel38[[#This Row],[France - Gas]],Tb_Fuel38[[#This Row],[Override5]])</f>
        <v>2.8250000000000001E-2</v>
      </c>
      <c r="BM30" s="855">
        <f>IF(ISBLANK(Tb_Fuel38[[#This Row],[Override6]]),Tb_Fuel38[[#This Row],[Spain - Gas]],Tb_Fuel38[[#This Row],[Override6]])</f>
        <v>2.8250000000000001E-2</v>
      </c>
      <c r="BN30" s="855">
        <f>IF(ISBLANK(Tb_Fuel38[[#This Row],[Override7]]),Tb_Fuel38[[#This Row],[Algeria - Gas]],Tb_Fuel38[[#This Row],[Override7]])</f>
        <v>3.0000000000000001E-3</v>
      </c>
      <c r="BO30" s="855">
        <f>IF(ISBLANK(Tb_Fuel38[[#This Row],[Override8]]),Tb_Fuel38[[#This Row],[Norway - Gas]],Tb_Fuel38[[#This Row],[Override8]])</f>
        <v>8.0000000000000002E-3</v>
      </c>
      <c r="BP30" s="855">
        <f>IF(ISBLANK(Tb_Fuel38[[#This Row],[Override9]]),Tb_Fuel38[[#This Row],[Qatar - Gas]],Tb_Fuel38[[#This Row],[Override9]])</f>
        <v>4.0000000000000001E-3</v>
      </c>
      <c r="BQ30" s="855">
        <f>IF(ISBLANK(Tb_Fuel38[[#This Row],[Override10]]),Tb_Fuel38[[#This Row],[Germany - CO2 Price]],Tb_Fuel38[[#This Row],[Override10]])</f>
        <v>161.49488458611651</v>
      </c>
      <c r="BR30" s="855">
        <f>IF(ISBLANK(Tb_Fuel38[[#This Row],[Override11]]),Tb_Fuel38[[#This Row],[France - CO2 Price]],Tb_Fuel38[[#This Row],[Override11]])</f>
        <v>161.49488458611651</v>
      </c>
      <c r="BS30" s="855">
        <f>IF(ISBLANK(Tb_Fuel38[[#This Row],[Override12]]),Tb_Fuel38[[#This Row],[Spain - CO2 Price]],Tb_Fuel38[[#This Row],[Override12]])</f>
        <v>161.49488458611651</v>
      </c>
      <c r="BT30" s="855">
        <f>IF(ISBLANK(Tb_Fuel38[[#This Row],[Override13]]),Tb_Fuel38[[#This Row],[Algeria - CO2 Price]],Tb_Fuel38[[#This Row],[Override13]])</f>
        <v>0</v>
      </c>
      <c r="BU30" s="855">
        <f>IF(ISBLANK(Tb_Fuel38[[#This Row],[Override14]]),Tb_Fuel38[[#This Row],[Norway - CO2 Price]],Tb_Fuel38[[#This Row],[Override14]])</f>
        <v>161.49488458611651</v>
      </c>
      <c r="BV30" s="855">
        <f>IF(ISBLANK(Tb_Fuel38[[#This Row],[Override15]]),Tb_Fuel38[[#This Row],[Qatar - CO2 Price]],Tb_Fuel38[[#This Row],[Override15]])</f>
        <v>0</v>
      </c>
      <c r="BW30" s="855">
        <f>IF(ISBLANK(Tb_Fuel38[[#This Row],[Override16]]),Tb_Fuel38[[#This Row],[Global - Diesel]],Tb_Fuel38[[#This Row],[Override16]])</f>
        <v>1.3</v>
      </c>
      <c r="BX30" s="855">
        <f>IF(ISBLANK(Tb_Fuel38[[#This Row],[Override17]]),Tb_Fuel38[[#This Row],[Global - HFO]],Tb_Fuel38[[#This Row],[Override17]])</f>
        <v>1.0113910956318826E-2</v>
      </c>
    </row>
    <row r="31" spans="1:76">
      <c r="A31" s="107">
        <v>2048</v>
      </c>
      <c r="B31" s="113">
        <f t="shared" si="3"/>
        <v>0.107</v>
      </c>
      <c r="C31" s="857"/>
      <c r="D31" s="113">
        <f t="shared" si="4"/>
        <v>9.5000000000000001E-2</v>
      </c>
      <c r="E31" s="857"/>
      <c r="F31" s="113">
        <f t="shared" si="15"/>
        <v>0.11</v>
      </c>
      <c r="G31" s="857"/>
      <c r="H31" s="113"/>
      <c r="I31" s="857"/>
      <c r="J31" s="113"/>
      <c r="K31" s="857"/>
      <c r="L31" s="113"/>
      <c r="M31" s="857"/>
      <c r="N31" s="113"/>
      <c r="O31" s="857"/>
      <c r="P31" s="113"/>
      <c r="Q31" s="857"/>
      <c r="R31" s="113"/>
      <c r="S31" s="857"/>
      <c r="T31" s="113">
        <f t="shared" si="5"/>
        <v>2.8250000000000001E-2</v>
      </c>
      <c r="U31" s="857"/>
      <c r="V31" s="113">
        <f t="shared" si="6"/>
        <v>2.8250000000000001E-2</v>
      </c>
      <c r="W31" s="857"/>
      <c r="X31" s="113">
        <f t="shared" si="7"/>
        <v>2.8250000000000001E-2</v>
      </c>
      <c r="Y31" s="857"/>
      <c r="Z31" s="113">
        <f t="shared" si="8"/>
        <v>3.0000000000000001E-3</v>
      </c>
      <c r="AA31" s="857"/>
      <c r="AB31" s="113">
        <f t="shared" si="9"/>
        <v>8.0000000000000002E-3</v>
      </c>
      <c r="AC31" s="857"/>
      <c r="AD31" s="113">
        <f t="shared" si="10"/>
        <v>4.0000000000000001E-3</v>
      </c>
      <c r="AE31" s="857"/>
      <c r="AF31" s="113">
        <f>(AF$33-AF$23)*(Tb_Fuel38[[#This Row],[Year]]-$A$23)/($A$33-$A$23)+AF$23</f>
        <v>164.03145345396126</v>
      </c>
      <c r="AG31" s="857"/>
      <c r="AH31" s="113">
        <f>(AH$33-AH$23)*(Tb_Fuel38[[#This Row],[Year]]-$A$23)/($A$33-$A$23)+AH$23</f>
        <v>164.03145345396126</v>
      </c>
      <c r="AI31" s="857"/>
      <c r="AJ31" s="113">
        <f>(AJ$33-AJ$23)*(Tb_Fuel38[[#This Row],[Year]]-$A$23)/($A$33-$A$23)+AJ$23</f>
        <v>164.03145345396126</v>
      </c>
      <c r="AK31" s="857"/>
      <c r="AL31" s="113">
        <f t="shared" si="11"/>
        <v>0</v>
      </c>
      <c r="AM31" s="857"/>
      <c r="AN31" s="113">
        <f>(AN$33-AN$23)*(Tb_Fuel38[[#This Row],[Year]]-$A$23)/($A$33-$A$23)+AN$23</f>
        <v>164.03145345396126</v>
      </c>
      <c r="AO31" s="857"/>
      <c r="AP31" s="113">
        <f t="shared" si="12"/>
        <v>0</v>
      </c>
      <c r="AQ31" s="857"/>
      <c r="AR31" s="113">
        <f t="shared" si="13"/>
        <v>1.3</v>
      </c>
      <c r="AS31" s="857"/>
      <c r="AT31" s="113">
        <f t="shared" si="14"/>
        <v>1.0113910956318826E-2</v>
      </c>
      <c r="AU31" s="859"/>
      <c r="BA31" s="854">
        <v>2048</v>
      </c>
      <c r="BB31" s="855">
        <f>IF(ISBLANK(Tb_Fuel38[[#This Row],[Override]]),Tb_Fuel38[[#This Row],[Germany - Grid]],Tb_Fuel38[[#This Row],[Override]])</f>
        <v>0.107</v>
      </c>
      <c r="BC31" s="855">
        <f>IF(ISBLANK(Tb_Fuel38[[#This Row],[Override2]]),Tb_Fuel38[[#This Row],[France - Grid]],Tb_Fuel38[[#This Row],[Override2]])</f>
        <v>9.5000000000000001E-2</v>
      </c>
      <c r="BD31" s="855">
        <f>IF(ISBLANK(Tb_Fuel38[[#This Row],[Override3]]),Tb_Fuel38[[#This Row],[Spain - Grid]],Tb_Fuel38[[#This Row],[Override3]])</f>
        <v>0.11</v>
      </c>
      <c r="BE31" s="855">
        <f>IF(ISBLANK(Tb_Fuel38[[#This Row],[Override18]]),Tb_Fuel38[[#This Row],[Germany - Feed-in electricity price]],Tb_Fuel38[[#This Row],[Override18]])</f>
        <v>0</v>
      </c>
      <c r="BF31" s="855">
        <f>IF(ISBLANK(Tb_Fuel38[[#This Row],[Override220]]),Tb_Fuel38[[#This Row],[France - Feed-in electricity price]],Tb_Fuel38[[#This Row],[Override220]])</f>
        <v>0</v>
      </c>
      <c r="BG31" s="855">
        <f>IF(ISBLANK(Tb_Fuel38[[#This Row],[Override322]]),Tb_Fuel38[[#This Row],[Spain - Feed-in electricity price]],Tb_Fuel38[[#This Row],[Override322]])</f>
        <v>0</v>
      </c>
      <c r="BH31" s="855">
        <f>IF(ISBLANK(Tb_Fuel38[[#This Row],[Override183]]),Tb_Fuel38[[#This Row],[Norway - Feed-in electricity price]],Tb_Fuel38[[#This Row],[Override183]])</f>
        <v>0</v>
      </c>
      <c r="BI31" s="855">
        <f>IF(ISBLANK(Tb_Fuel38[[#This Row],[Override2205]]),Tb_Fuel38[[#This Row],[Qatar - Feed-in electricity price]],Tb_Fuel38[[#This Row],[Override2205]])</f>
        <v>0</v>
      </c>
      <c r="BJ31" s="855">
        <f>IF(ISBLANK(Tb_Fuel38[[#This Row],[Override3227]]),Tb_Fuel38[[#This Row],[Algeria - Feed-in electricity price]],Tb_Fuel38[[#This Row],[Override3227]])</f>
        <v>0</v>
      </c>
      <c r="BK31" s="855">
        <f>IF(ISBLANK(Tb_Fuel38[[#This Row],[Override4]]),Tb_Fuel38[[#This Row],[Germany - Gas]],Tb_Fuel38[[#This Row],[Override4]])</f>
        <v>2.8250000000000001E-2</v>
      </c>
      <c r="BL31" s="855">
        <f>IF(ISBLANK(Tb_Fuel38[[#This Row],[Override5]]),Tb_Fuel38[[#This Row],[France - Gas]],Tb_Fuel38[[#This Row],[Override5]])</f>
        <v>2.8250000000000001E-2</v>
      </c>
      <c r="BM31" s="855">
        <f>IF(ISBLANK(Tb_Fuel38[[#This Row],[Override6]]),Tb_Fuel38[[#This Row],[Spain - Gas]],Tb_Fuel38[[#This Row],[Override6]])</f>
        <v>2.8250000000000001E-2</v>
      </c>
      <c r="BN31" s="855">
        <f>IF(ISBLANK(Tb_Fuel38[[#This Row],[Override7]]),Tb_Fuel38[[#This Row],[Algeria - Gas]],Tb_Fuel38[[#This Row],[Override7]])</f>
        <v>3.0000000000000001E-3</v>
      </c>
      <c r="BO31" s="855">
        <f>IF(ISBLANK(Tb_Fuel38[[#This Row],[Override8]]),Tb_Fuel38[[#This Row],[Norway - Gas]],Tb_Fuel38[[#This Row],[Override8]])</f>
        <v>8.0000000000000002E-3</v>
      </c>
      <c r="BP31" s="855">
        <f>IF(ISBLANK(Tb_Fuel38[[#This Row],[Override9]]),Tb_Fuel38[[#This Row],[Qatar - Gas]],Tb_Fuel38[[#This Row],[Override9]])</f>
        <v>4.0000000000000001E-3</v>
      </c>
      <c r="BQ31" s="855">
        <f>IF(ISBLANK(Tb_Fuel38[[#This Row],[Override10]]),Tb_Fuel38[[#This Row],[Germany - CO2 Price]],Tb_Fuel38[[#This Row],[Override10]])</f>
        <v>164.03145345396126</v>
      </c>
      <c r="BR31" s="855">
        <f>IF(ISBLANK(Tb_Fuel38[[#This Row],[Override11]]),Tb_Fuel38[[#This Row],[France - CO2 Price]],Tb_Fuel38[[#This Row],[Override11]])</f>
        <v>164.03145345396126</v>
      </c>
      <c r="BS31" s="855">
        <f>IF(ISBLANK(Tb_Fuel38[[#This Row],[Override12]]),Tb_Fuel38[[#This Row],[Spain - CO2 Price]],Tb_Fuel38[[#This Row],[Override12]])</f>
        <v>164.03145345396126</v>
      </c>
      <c r="BT31" s="855">
        <f>IF(ISBLANK(Tb_Fuel38[[#This Row],[Override13]]),Tb_Fuel38[[#This Row],[Algeria - CO2 Price]],Tb_Fuel38[[#This Row],[Override13]])</f>
        <v>0</v>
      </c>
      <c r="BU31" s="855">
        <f>IF(ISBLANK(Tb_Fuel38[[#This Row],[Override14]]),Tb_Fuel38[[#This Row],[Norway - CO2 Price]],Tb_Fuel38[[#This Row],[Override14]])</f>
        <v>164.03145345396126</v>
      </c>
      <c r="BV31" s="855">
        <f>IF(ISBLANK(Tb_Fuel38[[#This Row],[Override15]]),Tb_Fuel38[[#This Row],[Qatar - CO2 Price]],Tb_Fuel38[[#This Row],[Override15]])</f>
        <v>0</v>
      </c>
      <c r="BW31" s="855">
        <f>IF(ISBLANK(Tb_Fuel38[[#This Row],[Override16]]),Tb_Fuel38[[#This Row],[Global - Diesel]],Tb_Fuel38[[#This Row],[Override16]])</f>
        <v>1.3</v>
      </c>
      <c r="BX31" s="855">
        <f>IF(ISBLANK(Tb_Fuel38[[#This Row],[Override17]]),Tb_Fuel38[[#This Row],[Global - HFO]],Tb_Fuel38[[#This Row],[Override17]])</f>
        <v>1.0113910956318826E-2</v>
      </c>
    </row>
    <row r="32" spans="1:76">
      <c r="A32" s="107">
        <v>2049</v>
      </c>
      <c r="B32" s="113">
        <f t="shared" si="3"/>
        <v>0.107</v>
      </c>
      <c r="C32" s="857"/>
      <c r="D32" s="113">
        <f t="shared" si="4"/>
        <v>9.5000000000000001E-2</v>
      </c>
      <c r="E32" s="857"/>
      <c r="F32" s="113">
        <f t="shared" si="15"/>
        <v>0.11</v>
      </c>
      <c r="G32" s="857"/>
      <c r="H32" s="113"/>
      <c r="I32" s="857"/>
      <c r="J32" s="113"/>
      <c r="K32" s="857"/>
      <c r="L32" s="113"/>
      <c r="M32" s="857"/>
      <c r="N32" s="113"/>
      <c r="O32" s="857"/>
      <c r="P32" s="113"/>
      <c r="Q32" s="857"/>
      <c r="R32" s="113"/>
      <c r="S32" s="857"/>
      <c r="T32" s="113">
        <f t="shared" si="5"/>
        <v>2.8250000000000001E-2</v>
      </c>
      <c r="U32" s="857"/>
      <c r="V32" s="113">
        <f t="shared" si="6"/>
        <v>2.8250000000000001E-2</v>
      </c>
      <c r="W32" s="857"/>
      <c r="X32" s="113">
        <f t="shared" si="7"/>
        <v>2.8250000000000001E-2</v>
      </c>
      <c r="Y32" s="857"/>
      <c r="Z32" s="113">
        <f t="shared" si="8"/>
        <v>3.0000000000000001E-3</v>
      </c>
      <c r="AA32" s="857"/>
      <c r="AB32" s="113">
        <f t="shared" si="9"/>
        <v>8.0000000000000002E-3</v>
      </c>
      <c r="AC32" s="857"/>
      <c r="AD32" s="113">
        <f t="shared" si="10"/>
        <v>4.0000000000000001E-3</v>
      </c>
      <c r="AE32" s="857"/>
      <c r="AF32" s="113">
        <f>(AF$33-AF$23)*(Tb_Fuel38[[#This Row],[Year]]-$A$23)/($A$33-$A$23)+AF$23</f>
        <v>166.56802232180604</v>
      </c>
      <c r="AG32" s="857"/>
      <c r="AH32" s="113">
        <f>(AH$33-AH$23)*(Tb_Fuel38[[#This Row],[Year]]-$A$23)/($A$33-$A$23)+AH$23</f>
        <v>166.56802232180604</v>
      </c>
      <c r="AI32" s="857"/>
      <c r="AJ32" s="113">
        <f>(AJ$33-AJ$23)*(Tb_Fuel38[[#This Row],[Year]]-$A$23)/($A$33-$A$23)+AJ$23</f>
        <v>166.56802232180604</v>
      </c>
      <c r="AK32" s="857"/>
      <c r="AL32" s="113">
        <f t="shared" si="11"/>
        <v>0</v>
      </c>
      <c r="AM32" s="857"/>
      <c r="AN32" s="113">
        <f>(AN$33-AN$23)*(Tb_Fuel38[[#This Row],[Year]]-$A$23)/($A$33-$A$23)+AN$23</f>
        <v>166.56802232180604</v>
      </c>
      <c r="AO32" s="857"/>
      <c r="AP32" s="113">
        <f t="shared" si="12"/>
        <v>0</v>
      </c>
      <c r="AQ32" s="857"/>
      <c r="AR32" s="113">
        <f t="shared" si="13"/>
        <v>1.3</v>
      </c>
      <c r="AS32" s="857"/>
      <c r="AT32" s="113">
        <f t="shared" si="14"/>
        <v>1.0113910956318826E-2</v>
      </c>
      <c r="AU32" s="859"/>
      <c r="BA32" s="854">
        <v>2049</v>
      </c>
      <c r="BB32" s="855">
        <f>IF(ISBLANK(Tb_Fuel38[[#This Row],[Override]]),Tb_Fuel38[[#This Row],[Germany - Grid]],Tb_Fuel38[[#This Row],[Override]])</f>
        <v>0.107</v>
      </c>
      <c r="BC32" s="855">
        <f>IF(ISBLANK(Tb_Fuel38[[#This Row],[Override2]]),Tb_Fuel38[[#This Row],[France - Grid]],Tb_Fuel38[[#This Row],[Override2]])</f>
        <v>9.5000000000000001E-2</v>
      </c>
      <c r="BD32" s="855">
        <f>IF(ISBLANK(Tb_Fuel38[[#This Row],[Override3]]),Tb_Fuel38[[#This Row],[Spain - Grid]],Tb_Fuel38[[#This Row],[Override3]])</f>
        <v>0.11</v>
      </c>
      <c r="BE32" s="855">
        <f>IF(ISBLANK(Tb_Fuel38[[#This Row],[Override18]]),Tb_Fuel38[[#This Row],[Germany - Feed-in electricity price]],Tb_Fuel38[[#This Row],[Override18]])</f>
        <v>0</v>
      </c>
      <c r="BF32" s="855">
        <f>IF(ISBLANK(Tb_Fuel38[[#This Row],[Override220]]),Tb_Fuel38[[#This Row],[France - Feed-in electricity price]],Tb_Fuel38[[#This Row],[Override220]])</f>
        <v>0</v>
      </c>
      <c r="BG32" s="855">
        <f>IF(ISBLANK(Tb_Fuel38[[#This Row],[Override322]]),Tb_Fuel38[[#This Row],[Spain - Feed-in electricity price]],Tb_Fuel38[[#This Row],[Override322]])</f>
        <v>0</v>
      </c>
      <c r="BH32" s="855">
        <f>IF(ISBLANK(Tb_Fuel38[[#This Row],[Override183]]),Tb_Fuel38[[#This Row],[Norway - Feed-in electricity price]],Tb_Fuel38[[#This Row],[Override183]])</f>
        <v>0</v>
      </c>
      <c r="BI32" s="855">
        <f>IF(ISBLANK(Tb_Fuel38[[#This Row],[Override2205]]),Tb_Fuel38[[#This Row],[Qatar - Feed-in electricity price]],Tb_Fuel38[[#This Row],[Override2205]])</f>
        <v>0</v>
      </c>
      <c r="BJ32" s="855">
        <f>IF(ISBLANK(Tb_Fuel38[[#This Row],[Override3227]]),Tb_Fuel38[[#This Row],[Algeria - Feed-in electricity price]],Tb_Fuel38[[#This Row],[Override3227]])</f>
        <v>0</v>
      </c>
      <c r="BK32" s="855">
        <f>IF(ISBLANK(Tb_Fuel38[[#This Row],[Override4]]),Tb_Fuel38[[#This Row],[Germany - Gas]],Tb_Fuel38[[#This Row],[Override4]])</f>
        <v>2.8250000000000001E-2</v>
      </c>
      <c r="BL32" s="855">
        <f>IF(ISBLANK(Tb_Fuel38[[#This Row],[Override5]]),Tb_Fuel38[[#This Row],[France - Gas]],Tb_Fuel38[[#This Row],[Override5]])</f>
        <v>2.8250000000000001E-2</v>
      </c>
      <c r="BM32" s="855">
        <f>IF(ISBLANK(Tb_Fuel38[[#This Row],[Override6]]),Tb_Fuel38[[#This Row],[Spain - Gas]],Tb_Fuel38[[#This Row],[Override6]])</f>
        <v>2.8250000000000001E-2</v>
      </c>
      <c r="BN32" s="855">
        <f>IF(ISBLANK(Tb_Fuel38[[#This Row],[Override7]]),Tb_Fuel38[[#This Row],[Algeria - Gas]],Tb_Fuel38[[#This Row],[Override7]])</f>
        <v>3.0000000000000001E-3</v>
      </c>
      <c r="BO32" s="855">
        <f>IF(ISBLANK(Tb_Fuel38[[#This Row],[Override8]]),Tb_Fuel38[[#This Row],[Norway - Gas]],Tb_Fuel38[[#This Row],[Override8]])</f>
        <v>8.0000000000000002E-3</v>
      </c>
      <c r="BP32" s="855">
        <f>IF(ISBLANK(Tb_Fuel38[[#This Row],[Override9]]),Tb_Fuel38[[#This Row],[Qatar - Gas]],Tb_Fuel38[[#This Row],[Override9]])</f>
        <v>4.0000000000000001E-3</v>
      </c>
      <c r="BQ32" s="855">
        <f>IF(ISBLANK(Tb_Fuel38[[#This Row],[Override10]]),Tb_Fuel38[[#This Row],[Germany - CO2 Price]],Tb_Fuel38[[#This Row],[Override10]])</f>
        <v>166.56802232180604</v>
      </c>
      <c r="BR32" s="855">
        <f>IF(ISBLANK(Tb_Fuel38[[#This Row],[Override11]]),Tb_Fuel38[[#This Row],[France - CO2 Price]],Tb_Fuel38[[#This Row],[Override11]])</f>
        <v>166.56802232180604</v>
      </c>
      <c r="BS32" s="855">
        <f>IF(ISBLANK(Tb_Fuel38[[#This Row],[Override12]]),Tb_Fuel38[[#This Row],[Spain - CO2 Price]],Tb_Fuel38[[#This Row],[Override12]])</f>
        <v>166.56802232180604</v>
      </c>
      <c r="BT32" s="855">
        <f>IF(ISBLANK(Tb_Fuel38[[#This Row],[Override13]]),Tb_Fuel38[[#This Row],[Algeria - CO2 Price]],Tb_Fuel38[[#This Row],[Override13]])</f>
        <v>0</v>
      </c>
      <c r="BU32" s="855">
        <f>IF(ISBLANK(Tb_Fuel38[[#This Row],[Override14]]),Tb_Fuel38[[#This Row],[Norway - CO2 Price]],Tb_Fuel38[[#This Row],[Override14]])</f>
        <v>166.56802232180604</v>
      </c>
      <c r="BV32" s="855">
        <f>IF(ISBLANK(Tb_Fuel38[[#This Row],[Override15]]),Tb_Fuel38[[#This Row],[Qatar - CO2 Price]],Tb_Fuel38[[#This Row],[Override15]])</f>
        <v>0</v>
      </c>
      <c r="BW32" s="855">
        <f>IF(ISBLANK(Tb_Fuel38[[#This Row],[Override16]]),Tb_Fuel38[[#This Row],[Global - Diesel]],Tb_Fuel38[[#This Row],[Override16]])</f>
        <v>1.3</v>
      </c>
      <c r="BX32" s="855">
        <f>IF(ISBLANK(Tb_Fuel38[[#This Row],[Override17]]),Tb_Fuel38[[#This Row],[Global - HFO]],Tb_Fuel38[[#This Row],[Override17]])</f>
        <v>1.0113910956318826E-2</v>
      </c>
    </row>
    <row r="33" spans="1:76">
      <c r="A33" s="107">
        <v>2050</v>
      </c>
      <c r="B33" s="113">
        <f t="shared" si="3"/>
        <v>0.107</v>
      </c>
      <c r="C33" s="857"/>
      <c r="D33" s="113">
        <f t="shared" si="4"/>
        <v>9.5000000000000001E-2</v>
      </c>
      <c r="E33" s="857"/>
      <c r="F33" s="113">
        <f t="shared" si="15"/>
        <v>0.11</v>
      </c>
      <c r="G33" s="857"/>
      <c r="H33" s="113"/>
      <c r="I33" s="857"/>
      <c r="J33" s="113"/>
      <c r="K33" s="857"/>
      <c r="L33" s="113"/>
      <c r="M33" s="857"/>
      <c r="N33" s="113"/>
      <c r="O33" s="857"/>
      <c r="P33" s="113"/>
      <c r="Q33" s="857"/>
      <c r="R33" s="113"/>
      <c r="S33" s="857"/>
      <c r="T33" s="113">
        <f t="shared" si="5"/>
        <v>2.8250000000000001E-2</v>
      </c>
      <c r="U33" s="857"/>
      <c r="V33" s="113">
        <f t="shared" si="6"/>
        <v>2.8250000000000001E-2</v>
      </c>
      <c r="W33" s="857"/>
      <c r="X33" s="113">
        <f t="shared" si="7"/>
        <v>2.8250000000000001E-2</v>
      </c>
      <c r="Y33" s="857"/>
      <c r="Z33" s="113">
        <f t="shared" si="8"/>
        <v>3.0000000000000001E-3</v>
      </c>
      <c r="AA33" s="857"/>
      <c r="AB33" s="113">
        <f t="shared" si="9"/>
        <v>8.0000000000000002E-3</v>
      </c>
      <c r="AC33" s="857"/>
      <c r="AD33" s="113">
        <f t="shared" si="10"/>
        <v>4.0000000000000001E-3</v>
      </c>
      <c r="AE33" s="857"/>
      <c r="AF33" s="113">
        <f>200/'General values'!$M$24</f>
        <v>169.10459118965079</v>
      </c>
      <c r="AG33" s="857"/>
      <c r="AH33" s="113">
        <f>200/'General values'!$M$24</f>
        <v>169.10459118965079</v>
      </c>
      <c r="AI33" s="857"/>
      <c r="AJ33" s="113">
        <f>200/'General values'!$M$24</f>
        <v>169.10459118965079</v>
      </c>
      <c r="AK33" s="857"/>
      <c r="AL33" s="113">
        <f t="shared" si="11"/>
        <v>0</v>
      </c>
      <c r="AM33" s="857"/>
      <c r="AN33" s="113">
        <f>200/'General values'!$M$24</f>
        <v>169.10459118965079</v>
      </c>
      <c r="AO33" s="857"/>
      <c r="AP33" s="113">
        <f t="shared" si="12"/>
        <v>0</v>
      </c>
      <c r="AQ33" s="857"/>
      <c r="AR33" s="113">
        <f t="shared" si="13"/>
        <v>1.3</v>
      </c>
      <c r="AS33" s="857"/>
      <c r="AT33" s="113">
        <f t="shared" si="14"/>
        <v>1.0113910956318826E-2</v>
      </c>
      <c r="AU33" s="859"/>
      <c r="BA33" s="854">
        <v>2050</v>
      </c>
      <c r="BB33" s="855">
        <f>IF(ISBLANK(Tb_Fuel38[[#This Row],[Override]]),Tb_Fuel38[[#This Row],[Germany - Grid]],Tb_Fuel38[[#This Row],[Override]])</f>
        <v>0.107</v>
      </c>
      <c r="BC33" s="855">
        <f>IF(ISBLANK(Tb_Fuel38[[#This Row],[Override2]]),Tb_Fuel38[[#This Row],[France - Grid]],Tb_Fuel38[[#This Row],[Override2]])</f>
        <v>9.5000000000000001E-2</v>
      </c>
      <c r="BD33" s="855">
        <f>IF(ISBLANK(Tb_Fuel38[[#This Row],[Override3]]),Tb_Fuel38[[#This Row],[Spain - Grid]],Tb_Fuel38[[#This Row],[Override3]])</f>
        <v>0.11</v>
      </c>
      <c r="BE33" s="855">
        <f>IF(ISBLANK(Tb_Fuel38[[#This Row],[Override18]]),Tb_Fuel38[[#This Row],[Germany - Feed-in electricity price]],Tb_Fuel38[[#This Row],[Override18]])</f>
        <v>0</v>
      </c>
      <c r="BF33" s="855">
        <f>IF(ISBLANK(Tb_Fuel38[[#This Row],[Override220]]),Tb_Fuel38[[#This Row],[France - Feed-in electricity price]],Tb_Fuel38[[#This Row],[Override220]])</f>
        <v>0</v>
      </c>
      <c r="BG33" s="855">
        <f>IF(ISBLANK(Tb_Fuel38[[#This Row],[Override322]]),Tb_Fuel38[[#This Row],[Spain - Feed-in electricity price]],Tb_Fuel38[[#This Row],[Override322]])</f>
        <v>0</v>
      </c>
      <c r="BH33" s="855">
        <f>IF(ISBLANK(Tb_Fuel38[[#This Row],[Override183]]),Tb_Fuel38[[#This Row],[Norway - Feed-in electricity price]],Tb_Fuel38[[#This Row],[Override183]])</f>
        <v>0</v>
      </c>
      <c r="BI33" s="855">
        <f>IF(ISBLANK(Tb_Fuel38[[#This Row],[Override2205]]),Tb_Fuel38[[#This Row],[Qatar - Feed-in electricity price]],Tb_Fuel38[[#This Row],[Override2205]])</f>
        <v>0</v>
      </c>
      <c r="BJ33" s="855">
        <f>IF(ISBLANK(Tb_Fuel38[[#This Row],[Override3227]]),Tb_Fuel38[[#This Row],[Algeria - Feed-in electricity price]],Tb_Fuel38[[#This Row],[Override3227]])</f>
        <v>0</v>
      </c>
      <c r="BK33" s="855">
        <f>IF(ISBLANK(Tb_Fuel38[[#This Row],[Override4]]),Tb_Fuel38[[#This Row],[Germany - Gas]],Tb_Fuel38[[#This Row],[Override4]])</f>
        <v>2.8250000000000001E-2</v>
      </c>
      <c r="BL33" s="855">
        <f>IF(ISBLANK(Tb_Fuel38[[#This Row],[Override5]]),Tb_Fuel38[[#This Row],[France - Gas]],Tb_Fuel38[[#This Row],[Override5]])</f>
        <v>2.8250000000000001E-2</v>
      </c>
      <c r="BM33" s="855">
        <f>IF(ISBLANK(Tb_Fuel38[[#This Row],[Override6]]),Tb_Fuel38[[#This Row],[Spain - Gas]],Tb_Fuel38[[#This Row],[Override6]])</f>
        <v>2.8250000000000001E-2</v>
      </c>
      <c r="BN33" s="855">
        <f>IF(ISBLANK(Tb_Fuel38[[#This Row],[Override7]]),Tb_Fuel38[[#This Row],[Algeria - Gas]],Tb_Fuel38[[#This Row],[Override7]])</f>
        <v>3.0000000000000001E-3</v>
      </c>
      <c r="BO33" s="855">
        <f>IF(ISBLANK(Tb_Fuel38[[#This Row],[Override8]]),Tb_Fuel38[[#This Row],[Norway - Gas]],Tb_Fuel38[[#This Row],[Override8]])</f>
        <v>8.0000000000000002E-3</v>
      </c>
      <c r="BP33" s="855">
        <f>IF(ISBLANK(Tb_Fuel38[[#This Row],[Override9]]),Tb_Fuel38[[#This Row],[Qatar - Gas]],Tb_Fuel38[[#This Row],[Override9]])</f>
        <v>4.0000000000000001E-3</v>
      </c>
      <c r="BQ33" s="855">
        <f>IF(ISBLANK(Tb_Fuel38[[#This Row],[Override10]]),Tb_Fuel38[[#This Row],[Germany - CO2 Price]],Tb_Fuel38[[#This Row],[Override10]])</f>
        <v>169.10459118965079</v>
      </c>
      <c r="BR33" s="855">
        <f>IF(ISBLANK(Tb_Fuel38[[#This Row],[Override11]]),Tb_Fuel38[[#This Row],[France - CO2 Price]],Tb_Fuel38[[#This Row],[Override11]])</f>
        <v>169.10459118965079</v>
      </c>
      <c r="BS33" s="855">
        <f>IF(ISBLANK(Tb_Fuel38[[#This Row],[Override12]]),Tb_Fuel38[[#This Row],[Spain - CO2 Price]],Tb_Fuel38[[#This Row],[Override12]])</f>
        <v>169.10459118965079</v>
      </c>
      <c r="BT33" s="855">
        <f>IF(ISBLANK(Tb_Fuel38[[#This Row],[Override13]]),Tb_Fuel38[[#This Row],[Algeria - CO2 Price]],Tb_Fuel38[[#This Row],[Override13]])</f>
        <v>0</v>
      </c>
      <c r="BU33" s="855">
        <f>IF(ISBLANK(Tb_Fuel38[[#This Row],[Override14]]),Tb_Fuel38[[#This Row],[Norway - CO2 Price]],Tb_Fuel38[[#This Row],[Override14]])</f>
        <v>169.10459118965079</v>
      </c>
      <c r="BV33" s="855">
        <f>IF(ISBLANK(Tb_Fuel38[[#This Row],[Override15]]),Tb_Fuel38[[#This Row],[Qatar - CO2 Price]],Tb_Fuel38[[#This Row],[Override15]])</f>
        <v>0</v>
      </c>
      <c r="BW33" s="855">
        <f>IF(ISBLANK(Tb_Fuel38[[#This Row],[Override16]]),Tb_Fuel38[[#This Row],[Global - Diesel]],Tb_Fuel38[[#This Row],[Override16]])</f>
        <v>1.3</v>
      </c>
      <c r="BX33" s="855">
        <f>IF(ISBLANK(Tb_Fuel38[[#This Row],[Override17]]),Tb_Fuel38[[#This Row],[Global - HFO]],Tb_Fuel38[[#This Row],[Override17]])</f>
        <v>1.0113910956318826E-2</v>
      </c>
    </row>
    <row r="34" spans="1:76">
      <c r="A34" s="107">
        <v>2051</v>
      </c>
      <c r="B34" s="113">
        <f t="shared" si="3"/>
        <v>0.107</v>
      </c>
      <c r="C34" s="857"/>
      <c r="D34" s="113">
        <f t="shared" si="4"/>
        <v>9.5000000000000001E-2</v>
      </c>
      <c r="E34" s="857"/>
      <c r="F34" s="113">
        <f t="shared" si="15"/>
        <v>0.11</v>
      </c>
      <c r="G34" s="857"/>
      <c r="H34" s="113"/>
      <c r="I34" s="857"/>
      <c r="J34" s="113"/>
      <c r="K34" s="857"/>
      <c r="L34" s="113"/>
      <c r="M34" s="857"/>
      <c r="N34" s="113"/>
      <c r="O34" s="857"/>
      <c r="P34" s="113"/>
      <c r="Q34" s="857"/>
      <c r="R34" s="113"/>
      <c r="S34" s="857"/>
      <c r="T34" s="113">
        <f t="shared" si="5"/>
        <v>2.8250000000000001E-2</v>
      </c>
      <c r="U34" s="857"/>
      <c r="V34" s="113">
        <f t="shared" si="6"/>
        <v>2.8250000000000001E-2</v>
      </c>
      <c r="W34" s="857"/>
      <c r="X34" s="113">
        <f t="shared" si="7"/>
        <v>2.8250000000000001E-2</v>
      </c>
      <c r="Y34" s="857"/>
      <c r="Z34" s="113">
        <f t="shared" si="8"/>
        <v>3.0000000000000001E-3</v>
      </c>
      <c r="AA34" s="857"/>
      <c r="AB34" s="113">
        <f t="shared" si="9"/>
        <v>8.0000000000000002E-3</v>
      </c>
      <c r="AC34" s="857"/>
      <c r="AD34" s="113">
        <f t="shared" si="10"/>
        <v>4.0000000000000001E-3</v>
      </c>
      <c r="AE34" s="857"/>
      <c r="AF34" s="113">
        <f>AF$33</f>
        <v>169.10459118965079</v>
      </c>
      <c r="AG34" s="857"/>
      <c r="AH34" s="113">
        <f t="shared" ref="AH34:AH43" si="16">AH$33</f>
        <v>169.10459118965079</v>
      </c>
      <c r="AI34" s="857"/>
      <c r="AJ34" s="113">
        <f t="shared" ref="AJ34:AJ43" si="17">AJ$33</f>
        <v>169.10459118965079</v>
      </c>
      <c r="AK34" s="857"/>
      <c r="AL34" s="113">
        <f t="shared" si="11"/>
        <v>0</v>
      </c>
      <c r="AM34" s="857"/>
      <c r="AN34" s="113">
        <f t="shared" ref="AN34:AN43" si="18">AN$33</f>
        <v>169.10459118965079</v>
      </c>
      <c r="AO34" s="857"/>
      <c r="AP34" s="113">
        <f t="shared" si="12"/>
        <v>0</v>
      </c>
      <c r="AQ34" s="857"/>
      <c r="AR34" s="113">
        <f t="shared" si="13"/>
        <v>1.3</v>
      </c>
      <c r="AS34" s="857"/>
      <c r="AT34" s="113">
        <f t="shared" si="14"/>
        <v>1.0113910956318826E-2</v>
      </c>
      <c r="AU34" s="859"/>
      <c r="BA34" s="854">
        <v>2051</v>
      </c>
      <c r="BB34" s="855">
        <f>IF(ISBLANK(Tb_Fuel38[[#This Row],[Override]]),Tb_Fuel38[[#This Row],[Germany - Grid]],Tb_Fuel38[[#This Row],[Override]])</f>
        <v>0.107</v>
      </c>
      <c r="BC34" s="855">
        <f>IF(ISBLANK(Tb_Fuel38[[#This Row],[Override2]]),Tb_Fuel38[[#This Row],[France - Grid]],Tb_Fuel38[[#This Row],[Override2]])</f>
        <v>9.5000000000000001E-2</v>
      </c>
      <c r="BD34" s="855">
        <f>IF(ISBLANK(Tb_Fuel38[[#This Row],[Override3]]),Tb_Fuel38[[#This Row],[Spain - Grid]],Tb_Fuel38[[#This Row],[Override3]])</f>
        <v>0.11</v>
      </c>
      <c r="BE34" s="855">
        <f>IF(ISBLANK(Tb_Fuel38[[#This Row],[Override18]]),Tb_Fuel38[[#This Row],[Germany - Feed-in electricity price]],Tb_Fuel38[[#This Row],[Override18]])</f>
        <v>0</v>
      </c>
      <c r="BF34" s="855">
        <f>IF(ISBLANK(Tb_Fuel38[[#This Row],[Override220]]),Tb_Fuel38[[#This Row],[France - Feed-in electricity price]],Tb_Fuel38[[#This Row],[Override220]])</f>
        <v>0</v>
      </c>
      <c r="BG34" s="855">
        <f>IF(ISBLANK(Tb_Fuel38[[#This Row],[Override322]]),Tb_Fuel38[[#This Row],[Spain - Feed-in electricity price]],Tb_Fuel38[[#This Row],[Override322]])</f>
        <v>0</v>
      </c>
      <c r="BH34" s="855">
        <f>IF(ISBLANK(Tb_Fuel38[[#This Row],[Override183]]),Tb_Fuel38[[#This Row],[Norway - Feed-in electricity price]],Tb_Fuel38[[#This Row],[Override183]])</f>
        <v>0</v>
      </c>
      <c r="BI34" s="855">
        <f>IF(ISBLANK(Tb_Fuel38[[#This Row],[Override2205]]),Tb_Fuel38[[#This Row],[Qatar - Feed-in electricity price]],Tb_Fuel38[[#This Row],[Override2205]])</f>
        <v>0</v>
      </c>
      <c r="BJ34" s="855">
        <f>IF(ISBLANK(Tb_Fuel38[[#This Row],[Override3227]]),Tb_Fuel38[[#This Row],[Algeria - Feed-in electricity price]],Tb_Fuel38[[#This Row],[Override3227]])</f>
        <v>0</v>
      </c>
      <c r="BK34" s="855">
        <f>IF(ISBLANK(Tb_Fuel38[[#This Row],[Override4]]),Tb_Fuel38[[#This Row],[Germany - Gas]],Tb_Fuel38[[#This Row],[Override4]])</f>
        <v>2.8250000000000001E-2</v>
      </c>
      <c r="BL34" s="855">
        <f>IF(ISBLANK(Tb_Fuel38[[#This Row],[Override5]]),Tb_Fuel38[[#This Row],[France - Gas]],Tb_Fuel38[[#This Row],[Override5]])</f>
        <v>2.8250000000000001E-2</v>
      </c>
      <c r="BM34" s="855">
        <f>IF(ISBLANK(Tb_Fuel38[[#This Row],[Override6]]),Tb_Fuel38[[#This Row],[Spain - Gas]],Tb_Fuel38[[#This Row],[Override6]])</f>
        <v>2.8250000000000001E-2</v>
      </c>
      <c r="BN34" s="855">
        <f>IF(ISBLANK(Tb_Fuel38[[#This Row],[Override7]]),Tb_Fuel38[[#This Row],[Algeria - Gas]],Tb_Fuel38[[#This Row],[Override7]])</f>
        <v>3.0000000000000001E-3</v>
      </c>
      <c r="BO34" s="855">
        <f>IF(ISBLANK(Tb_Fuel38[[#This Row],[Override8]]),Tb_Fuel38[[#This Row],[Norway - Gas]],Tb_Fuel38[[#This Row],[Override8]])</f>
        <v>8.0000000000000002E-3</v>
      </c>
      <c r="BP34" s="855">
        <f>IF(ISBLANK(Tb_Fuel38[[#This Row],[Override9]]),Tb_Fuel38[[#This Row],[Qatar - Gas]],Tb_Fuel38[[#This Row],[Override9]])</f>
        <v>4.0000000000000001E-3</v>
      </c>
      <c r="BQ34" s="855">
        <f>IF(ISBLANK(Tb_Fuel38[[#This Row],[Override10]]),Tb_Fuel38[[#This Row],[Germany - CO2 Price]],Tb_Fuel38[[#This Row],[Override10]])</f>
        <v>169.10459118965079</v>
      </c>
      <c r="BR34" s="855">
        <f>IF(ISBLANK(Tb_Fuel38[[#This Row],[Override11]]),Tb_Fuel38[[#This Row],[France - CO2 Price]],Tb_Fuel38[[#This Row],[Override11]])</f>
        <v>169.10459118965079</v>
      </c>
      <c r="BS34" s="855">
        <f>IF(ISBLANK(Tb_Fuel38[[#This Row],[Override12]]),Tb_Fuel38[[#This Row],[Spain - CO2 Price]],Tb_Fuel38[[#This Row],[Override12]])</f>
        <v>169.10459118965079</v>
      </c>
      <c r="BT34" s="855">
        <f>IF(ISBLANK(Tb_Fuel38[[#This Row],[Override13]]),Tb_Fuel38[[#This Row],[Algeria - CO2 Price]],Tb_Fuel38[[#This Row],[Override13]])</f>
        <v>0</v>
      </c>
      <c r="BU34" s="855">
        <f>IF(ISBLANK(Tb_Fuel38[[#This Row],[Override14]]),Tb_Fuel38[[#This Row],[Norway - CO2 Price]],Tb_Fuel38[[#This Row],[Override14]])</f>
        <v>169.10459118965079</v>
      </c>
      <c r="BV34" s="855">
        <f>IF(ISBLANK(Tb_Fuel38[[#This Row],[Override15]]),Tb_Fuel38[[#This Row],[Qatar - CO2 Price]],Tb_Fuel38[[#This Row],[Override15]])</f>
        <v>0</v>
      </c>
      <c r="BW34" s="855">
        <f>IF(ISBLANK(Tb_Fuel38[[#This Row],[Override16]]),Tb_Fuel38[[#This Row],[Global - Diesel]],Tb_Fuel38[[#This Row],[Override16]])</f>
        <v>1.3</v>
      </c>
      <c r="BX34" s="855">
        <f>IF(ISBLANK(Tb_Fuel38[[#This Row],[Override17]]),Tb_Fuel38[[#This Row],[Global - HFO]],Tb_Fuel38[[#This Row],[Override17]])</f>
        <v>1.0113910956318826E-2</v>
      </c>
    </row>
    <row r="35" spans="1:76">
      <c r="A35" s="107">
        <v>2052</v>
      </c>
      <c r="B35" s="113">
        <f t="shared" si="3"/>
        <v>0.107</v>
      </c>
      <c r="C35" s="857"/>
      <c r="D35" s="113">
        <f t="shared" si="4"/>
        <v>9.5000000000000001E-2</v>
      </c>
      <c r="E35" s="857"/>
      <c r="F35" s="113">
        <f t="shared" si="15"/>
        <v>0.11</v>
      </c>
      <c r="G35" s="857"/>
      <c r="H35" s="113"/>
      <c r="I35" s="857"/>
      <c r="J35" s="113"/>
      <c r="K35" s="857"/>
      <c r="L35" s="113"/>
      <c r="M35" s="857"/>
      <c r="N35" s="113"/>
      <c r="O35" s="857"/>
      <c r="P35" s="113"/>
      <c r="Q35" s="857"/>
      <c r="R35" s="113"/>
      <c r="S35" s="857"/>
      <c r="T35" s="113">
        <f t="shared" si="5"/>
        <v>2.8250000000000001E-2</v>
      </c>
      <c r="U35" s="857"/>
      <c r="V35" s="113">
        <f t="shared" si="6"/>
        <v>2.8250000000000001E-2</v>
      </c>
      <c r="W35" s="857"/>
      <c r="X35" s="113">
        <f t="shared" si="7"/>
        <v>2.8250000000000001E-2</v>
      </c>
      <c r="Y35" s="857"/>
      <c r="Z35" s="113">
        <f t="shared" si="8"/>
        <v>3.0000000000000001E-3</v>
      </c>
      <c r="AA35" s="857"/>
      <c r="AB35" s="113">
        <f t="shared" si="9"/>
        <v>8.0000000000000002E-3</v>
      </c>
      <c r="AC35" s="857"/>
      <c r="AD35" s="113">
        <f t="shared" si="10"/>
        <v>4.0000000000000001E-3</v>
      </c>
      <c r="AE35" s="857"/>
      <c r="AF35" s="113">
        <f t="shared" ref="AF35:AF43" si="19">AF$33</f>
        <v>169.10459118965079</v>
      </c>
      <c r="AG35" s="857"/>
      <c r="AH35" s="113">
        <f t="shared" si="16"/>
        <v>169.10459118965079</v>
      </c>
      <c r="AI35" s="857"/>
      <c r="AJ35" s="113">
        <f t="shared" si="17"/>
        <v>169.10459118965079</v>
      </c>
      <c r="AK35" s="857"/>
      <c r="AL35" s="113">
        <f t="shared" si="11"/>
        <v>0</v>
      </c>
      <c r="AM35" s="857"/>
      <c r="AN35" s="113">
        <f t="shared" si="18"/>
        <v>169.10459118965079</v>
      </c>
      <c r="AO35" s="857"/>
      <c r="AP35" s="113">
        <f t="shared" si="12"/>
        <v>0</v>
      </c>
      <c r="AQ35" s="857"/>
      <c r="AR35" s="113">
        <f t="shared" si="13"/>
        <v>1.3</v>
      </c>
      <c r="AS35" s="857"/>
      <c r="AT35" s="113">
        <f t="shared" si="14"/>
        <v>1.0113910956318826E-2</v>
      </c>
      <c r="AU35" s="859"/>
      <c r="BA35" s="854">
        <v>2052</v>
      </c>
      <c r="BB35" s="855">
        <f>IF(ISBLANK(Tb_Fuel38[[#This Row],[Override]]),Tb_Fuel38[[#This Row],[Germany - Grid]],Tb_Fuel38[[#This Row],[Override]])</f>
        <v>0.107</v>
      </c>
      <c r="BC35" s="855">
        <f>IF(ISBLANK(Tb_Fuel38[[#This Row],[Override2]]),Tb_Fuel38[[#This Row],[France - Grid]],Tb_Fuel38[[#This Row],[Override2]])</f>
        <v>9.5000000000000001E-2</v>
      </c>
      <c r="BD35" s="855">
        <f>IF(ISBLANK(Tb_Fuel38[[#This Row],[Override3]]),Tb_Fuel38[[#This Row],[Spain - Grid]],Tb_Fuel38[[#This Row],[Override3]])</f>
        <v>0.11</v>
      </c>
      <c r="BE35" s="855">
        <f>IF(ISBLANK(Tb_Fuel38[[#This Row],[Override18]]),Tb_Fuel38[[#This Row],[Germany - Feed-in electricity price]],Tb_Fuel38[[#This Row],[Override18]])</f>
        <v>0</v>
      </c>
      <c r="BF35" s="855">
        <f>IF(ISBLANK(Tb_Fuel38[[#This Row],[Override220]]),Tb_Fuel38[[#This Row],[France - Feed-in electricity price]],Tb_Fuel38[[#This Row],[Override220]])</f>
        <v>0</v>
      </c>
      <c r="BG35" s="855">
        <f>IF(ISBLANK(Tb_Fuel38[[#This Row],[Override322]]),Tb_Fuel38[[#This Row],[Spain - Feed-in electricity price]],Tb_Fuel38[[#This Row],[Override322]])</f>
        <v>0</v>
      </c>
      <c r="BH35" s="855">
        <f>IF(ISBLANK(Tb_Fuel38[[#This Row],[Override183]]),Tb_Fuel38[[#This Row],[Norway - Feed-in electricity price]],Tb_Fuel38[[#This Row],[Override183]])</f>
        <v>0</v>
      </c>
      <c r="BI35" s="855">
        <f>IF(ISBLANK(Tb_Fuel38[[#This Row],[Override2205]]),Tb_Fuel38[[#This Row],[Qatar - Feed-in electricity price]],Tb_Fuel38[[#This Row],[Override2205]])</f>
        <v>0</v>
      </c>
      <c r="BJ35" s="855">
        <f>IF(ISBLANK(Tb_Fuel38[[#This Row],[Override3227]]),Tb_Fuel38[[#This Row],[Algeria - Feed-in electricity price]],Tb_Fuel38[[#This Row],[Override3227]])</f>
        <v>0</v>
      </c>
      <c r="BK35" s="855">
        <f>IF(ISBLANK(Tb_Fuel38[[#This Row],[Override4]]),Tb_Fuel38[[#This Row],[Germany - Gas]],Tb_Fuel38[[#This Row],[Override4]])</f>
        <v>2.8250000000000001E-2</v>
      </c>
      <c r="BL35" s="855">
        <f>IF(ISBLANK(Tb_Fuel38[[#This Row],[Override5]]),Tb_Fuel38[[#This Row],[France - Gas]],Tb_Fuel38[[#This Row],[Override5]])</f>
        <v>2.8250000000000001E-2</v>
      </c>
      <c r="BM35" s="855">
        <f>IF(ISBLANK(Tb_Fuel38[[#This Row],[Override6]]),Tb_Fuel38[[#This Row],[Spain - Gas]],Tb_Fuel38[[#This Row],[Override6]])</f>
        <v>2.8250000000000001E-2</v>
      </c>
      <c r="BN35" s="855">
        <f>IF(ISBLANK(Tb_Fuel38[[#This Row],[Override7]]),Tb_Fuel38[[#This Row],[Algeria - Gas]],Tb_Fuel38[[#This Row],[Override7]])</f>
        <v>3.0000000000000001E-3</v>
      </c>
      <c r="BO35" s="855">
        <f>IF(ISBLANK(Tb_Fuel38[[#This Row],[Override8]]),Tb_Fuel38[[#This Row],[Norway - Gas]],Tb_Fuel38[[#This Row],[Override8]])</f>
        <v>8.0000000000000002E-3</v>
      </c>
      <c r="BP35" s="855">
        <f>IF(ISBLANK(Tb_Fuel38[[#This Row],[Override9]]),Tb_Fuel38[[#This Row],[Qatar - Gas]],Tb_Fuel38[[#This Row],[Override9]])</f>
        <v>4.0000000000000001E-3</v>
      </c>
      <c r="BQ35" s="855">
        <f>IF(ISBLANK(Tb_Fuel38[[#This Row],[Override10]]),Tb_Fuel38[[#This Row],[Germany - CO2 Price]],Tb_Fuel38[[#This Row],[Override10]])</f>
        <v>169.10459118965079</v>
      </c>
      <c r="BR35" s="855">
        <f>IF(ISBLANK(Tb_Fuel38[[#This Row],[Override11]]),Tb_Fuel38[[#This Row],[France - CO2 Price]],Tb_Fuel38[[#This Row],[Override11]])</f>
        <v>169.10459118965079</v>
      </c>
      <c r="BS35" s="855">
        <f>IF(ISBLANK(Tb_Fuel38[[#This Row],[Override12]]),Tb_Fuel38[[#This Row],[Spain - CO2 Price]],Tb_Fuel38[[#This Row],[Override12]])</f>
        <v>169.10459118965079</v>
      </c>
      <c r="BT35" s="855">
        <f>IF(ISBLANK(Tb_Fuel38[[#This Row],[Override13]]),Tb_Fuel38[[#This Row],[Algeria - CO2 Price]],Tb_Fuel38[[#This Row],[Override13]])</f>
        <v>0</v>
      </c>
      <c r="BU35" s="855">
        <f>IF(ISBLANK(Tb_Fuel38[[#This Row],[Override14]]),Tb_Fuel38[[#This Row],[Norway - CO2 Price]],Tb_Fuel38[[#This Row],[Override14]])</f>
        <v>169.10459118965079</v>
      </c>
      <c r="BV35" s="855">
        <f>IF(ISBLANK(Tb_Fuel38[[#This Row],[Override15]]),Tb_Fuel38[[#This Row],[Qatar - CO2 Price]],Tb_Fuel38[[#This Row],[Override15]])</f>
        <v>0</v>
      </c>
      <c r="BW35" s="855">
        <f>IF(ISBLANK(Tb_Fuel38[[#This Row],[Override16]]),Tb_Fuel38[[#This Row],[Global - Diesel]],Tb_Fuel38[[#This Row],[Override16]])</f>
        <v>1.3</v>
      </c>
      <c r="BX35" s="855">
        <f>IF(ISBLANK(Tb_Fuel38[[#This Row],[Override17]]),Tb_Fuel38[[#This Row],[Global - HFO]],Tb_Fuel38[[#This Row],[Override17]])</f>
        <v>1.0113910956318826E-2</v>
      </c>
    </row>
    <row r="36" spans="1:76">
      <c r="A36" s="107">
        <v>2053</v>
      </c>
      <c r="B36" s="113">
        <f t="shared" si="3"/>
        <v>0.107</v>
      </c>
      <c r="C36" s="857"/>
      <c r="D36" s="113">
        <f t="shared" si="4"/>
        <v>9.5000000000000001E-2</v>
      </c>
      <c r="E36" s="857"/>
      <c r="F36" s="113">
        <f t="shared" si="15"/>
        <v>0.11</v>
      </c>
      <c r="G36" s="857"/>
      <c r="H36" s="113"/>
      <c r="I36" s="857"/>
      <c r="J36" s="113"/>
      <c r="K36" s="857"/>
      <c r="L36" s="113"/>
      <c r="M36" s="857"/>
      <c r="N36" s="113"/>
      <c r="O36" s="857"/>
      <c r="P36" s="113"/>
      <c r="Q36" s="857"/>
      <c r="R36" s="113"/>
      <c r="S36" s="857"/>
      <c r="T36" s="113">
        <f t="shared" si="5"/>
        <v>2.8250000000000001E-2</v>
      </c>
      <c r="U36" s="857"/>
      <c r="V36" s="113">
        <f t="shared" si="6"/>
        <v>2.8250000000000001E-2</v>
      </c>
      <c r="W36" s="857"/>
      <c r="X36" s="113">
        <f t="shared" si="7"/>
        <v>2.8250000000000001E-2</v>
      </c>
      <c r="Y36" s="857"/>
      <c r="Z36" s="113">
        <f t="shared" si="8"/>
        <v>3.0000000000000001E-3</v>
      </c>
      <c r="AA36" s="857"/>
      <c r="AB36" s="113">
        <f t="shared" si="9"/>
        <v>8.0000000000000002E-3</v>
      </c>
      <c r="AC36" s="857"/>
      <c r="AD36" s="113">
        <f t="shared" si="10"/>
        <v>4.0000000000000001E-3</v>
      </c>
      <c r="AE36" s="857"/>
      <c r="AF36" s="113">
        <f t="shared" si="19"/>
        <v>169.10459118965079</v>
      </c>
      <c r="AG36" s="857"/>
      <c r="AH36" s="113">
        <f t="shared" si="16"/>
        <v>169.10459118965079</v>
      </c>
      <c r="AI36" s="857"/>
      <c r="AJ36" s="113">
        <f t="shared" si="17"/>
        <v>169.10459118965079</v>
      </c>
      <c r="AK36" s="857"/>
      <c r="AL36" s="113">
        <f t="shared" si="11"/>
        <v>0</v>
      </c>
      <c r="AM36" s="857"/>
      <c r="AN36" s="113">
        <f t="shared" si="18"/>
        <v>169.10459118965079</v>
      </c>
      <c r="AO36" s="857"/>
      <c r="AP36" s="113">
        <f t="shared" si="12"/>
        <v>0</v>
      </c>
      <c r="AQ36" s="857"/>
      <c r="AR36" s="113">
        <f t="shared" si="13"/>
        <v>1.3</v>
      </c>
      <c r="AS36" s="857"/>
      <c r="AT36" s="113">
        <f t="shared" si="14"/>
        <v>1.0113910956318826E-2</v>
      </c>
      <c r="AU36" s="859"/>
      <c r="BA36" s="854">
        <v>2053</v>
      </c>
      <c r="BB36" s="855">
        <f>IF(ISBLANK(Tb_Fuel38[[#This Row],[Override]]),Tb_Fuel38[[#This Row],[Germany - Grid]],Tb_Fuel38[[#This Row],[Override]])</f>
        <v>0.107</v>
      </c>
      <c r="BC36" s="855">
        <f>IF(ISBLANK(Tb_Fuel38[[#This Row],[Override2]]),Tb_Fuel38[[#This Row],[France - Grid]],Tb_Fuel38[[#This Row],[Override2]])</f>
        <v>9.5000000000000001E-2</v>
      </c>
      <c r="BD36" s="855">
        <f>IF(ISBLANK(Tb_Fuel38[[#This Row],[Override3]]),Tb_Fuel38[[#This Row],[Spain - Grid]],Tb_Fuel38[[#This Row],[Override3]])</f>
        <v>0.11</v>
      </c>
      <c r="BE36" s="855">
        <f>IF(ISBLANK(Tb_Fuel38[[#This Row],[Override18]]),Tb_Fuel38[[#This Row],[Germany - Feed-in electricity price]],Tb_Fuel38[[#This Row],[Override18]])</f>
        <v>0</v>
      </c>
      <c r="BF36" s="855">
        <f>IF(ISBLANK(Tb_Fuel38[[#This Row],[Override220]]),Tb_Fuel38[[#This Row],[France - Feed-in electricity price]],Tb_Fuel38[[#This Row],[Override220]])</f>
        <v>0</v>
      </c>
      <c r="BG36" s="855">
        <f>IF(ISBLANK(Tb_Fuel38[[#This Row],[Override322]]),Tb_Fuel38[[#This Row],[Spain - Feed-in electricity price]],Tb_Fuel38[[#This Row],[Override322]])</f>
        <v>0</v>
      </c>
      <c r="BH36" s="855">
        <f>IF(ISBLANK(Tb_Fuel38[[#This Row],[Override183]]),Tb_Fuel38[[#This Row],[Norway - Feed-in electricity price]],Tb_Fuel38[[#This Row],[Override183]])</f>
        <v>0</v>
      </c>
      <c r="BI36" s="855">
        <f>IF(ISBLANK(Tb_Fuel38[[#This Row],[Override2205]]),Tb_Fuel38[[#This Row],[Qatar - Feed-in electricity price]],Tb_Fuel38[[#This Row],[Override2205]])</f>
        <v>0</v>
      </c>
      <c r="BJ36" s="855">
        <f>IF(ISBLANK(Tb_Fuel38[[#This Row],[Override3227]]),Tb_Fuel38[[#This Row],[Algeria - Feed-in electricity price]],Tb_Fuel38[[#This Row],[Override3227]])</f>
        <v>0</v>
      </c>
      <c r="BK36" s="855">
        <f>IF(ISBLANK(Tb_Fuel38[[#This Row],[Override4]]),Tb_Fuel38[[#This Row],[Germany - Gas]],Tb_Fuel38[[#This Row],[Override4]])</f>
        <v>2.8250000000000001E-2</v>
      </c>
      <c r="BL36" s="855">
        <f>IF(ISBLANK(Tb_Fuel38[[#This Row],[Override5]]),Tb_Fuel38[[#This Row],[France - Gas]],Tb_Fuel38[[#This Row],[Override5]])</f>
        <v>2.8250000000000001E-2</v>
      </c>
      <c r="BM36" s="855">
        <f>IF(ISBLANK(Tb_Fuel38[[#This Row],[Override6]]),Tb_Fuel38[[#This Row],[Spain - Gas]],Tb_Fuel38[[#This Row],[Override6]])</f>
        <v>2.8250000000000001E-2</v>
      </c>
      <c r="BN36" s="855">
        <f>IF(ISBLANK(Tb_Fuel38[[#This Row],[Override7]]),Tb_Fuel38[[#This Row],[Algeria - Gas]],Tb_Fuel38[[#This Row],[Override7]])</f>
        <v>3.0000000000000001E-3</v>
      </c>
      <c r="BO36" s="855">
        <f>IF(ISBLANK(Tb_Fuel38[[#This Row],[Override8]]),Tb_Fuel38[[#This Row],[Norway - Gas]],Tb_Fuel38[[#This Row],[Override8]])</f>
        <v>8.0000000000000002E-3</v>
      </c>
      <c r="BP36" s="855">
        <f>IF(ISBLANK(Tb_Fuel38[[#This Row],[Override9]]),Tb_Fuel38[[#This Row],[Qatar - Gas]],Tb_Fuel38[[#This Row],[Override9]])</f>
        <v>4.0000000000000001E-3</v>
      </c>
      <c r="BQ36" s="855">
        <f>IF(ISBLANK(Tb_Fuel38[[#This Row],[Override10]]),Tb_Fuel38[[#This Row],[Germany - CO2 Price]],Tb_Fuel38[[#This Row],[Override10]])</f>
        <v>169.10459118965079</v>
      </c>
      <c r="BR36" s="855">
        <f>IF(ISBLANK(Tb_Fuel38[[#This Row],[Override11]]),Tb_Fuel38[[#This Row],[France - CO2 Price]],Tb_Fuel38[[#This Row],[Override11]])</f>
        <v>169.10459118965079</v>
      </c>
      <c r="BS36" s="855">
        <f>IF(ISBLANK(Tb_Fuel38[[#This Row],[Override12]]),Tb_Fuel38[[#This Row],[Spain - CO2 Price]],Tb_Fuel38[[#This Row],[Override12]])</f>
        <v>169.10459118965079</v>
      </c>
      <c r="BT36" s="855">
        <f>IF(ISBLANK(Tb_Fuel38[[#This Row],[Override13]]),Tb_Fuel38[[#This Row],[Algeria - CO2 Price]],Tb_Fuel38[[#This Row],[Override13]])</f>
        <v>0</v>
      </c>
      <c r="BU36" s="855">
        <f>IF(ISBLANK(Tb_Fuel38[[#This Row],[Override14]]),Tb_Fuel38[[#This Row],[Norway - CO2 Price]],Tb_Fuel38[[#This Row],[Override14]])</f>
        <v>169.10459118965079</v>
      </c>
      <c r="BV36" s="855">
        <f>IF(ISBLANK(Tb_Fuel38[[#This Row],[Override15]]),Tb_Fuel38[[#This Row],[Qatar - CO2 Price]],Tb_Fuel38[[#This Row],[Override15]])</f>
        <v>0</v>
      </c>
      <c r="BW36" s="855">
        <f>IF(ISBLANK(Tb_Fuel38[[#This Row],[Override16]]),Tb_Fuel38[[#This Row],[Global - Diesel]],Tb_Fuel38[[#This Row],[Override16]])</f>
        <v>1.3</v>
      </c>
      <c r="BX36" s="855">
        <f>IF(ISBLANK(Tb_Fuel38[[#This Row],[Override17]]),Tb_Fuel38[[#This Row],[Global - HFO]],Tb_Fuel38[[#This Row],[Override17]])</f>
        <v>1.0113910956318826E-2</v>
      </c>
    </row>
    <row r="37" spans="1:76">
      <c r="A37" s="107">
        <v>2054</v>
      </c>
      <c r="B37" s="113">
        <f t="shared" si="3"/>
        <v>0.107</v>
      </c>
      <c r="C37" s="857"/>
      <c r="D37" s="113">
        <f t="shared" si="4"/>
        <v>9.5000000000000001E-2</v>
      </c>
      <c r="E37" s="857"/>
      <c r="F37" s="113">
        <f t="shared" si="15"/>
        <v>0.11</v>
      </c>
      <c r="G37" s="857"/>
      <c r="H37" s="113"/>
      <c r="I37" s="857"/>
      <c r="J37" s="113"/>
      <c r="K37" s="857"/>
      <c r="L37" s="113"/>
      <c r="M37" s="857"/>
      <c r="N37" s="113"/>
      <c r="O37" s="857"/>
      <c r="P37" s="113"/>
      <c r="Q37" s="857"/>
      <c r="R37" s="113"/>
      <c r="S37" s="857"/>
      <c r="T37" s="113">
        <f t="shared" si="5"/>
        <v>2.8250000000000001E-2</v>
      </c>
      <c r="U37" s="857"/>
      <c r="V37" s="113">
        <f t="shared" si="6"/>
        <v>2.8250000000000001E-2</v>
      </c>
      <c r="W37" s="857"/>
      <c r="X37" s="113">
        <f t="shared" si="7"/>
        <v>2.8250000000000001E-2</v>
      </c>
      <c r="Y37" s="857"/>
      <c r="Z37" s="113">
        <f t="shared" si="8"/>
        <v>3.0000000000000001E-3</v>
      </c>
      <c r="AA37" s="857"/>
      <c r="AB37" s="113">
        <f t="shared" si="9"/>
        <v>8.0000000000000002E-3</v>
      </c>
      <c r="AC37" s="857"/>
      <c r="AD37" s="113">
        <f t="shared" si="10"/>
        <v>4.0000000000000001E-3</v>
      </c>
      <c r="AE37" s="857"/>
      <c r="AF37" s="113">
        <f t="shared" si="19"/>
        <v>169.10459118965079</v>
      </c>
      <c r="AG37" s="857"/>
      <c r="AH37" s="113">
        <f t="shared" si="16"/>
        <v>169.10459118965079</v>
      </c>
      <c r="AI37" s="857"/>
      <c r="AJ37" s="113">
        <f t="shared" si="17"/>
        <v>169.10459118965079</v>
      </c>
      <c r="AK37" s="857"/>
      <c r="AL37" s="113">
        <f t="shared" si="11"/>
        <v>0</v>
      </c>
      <c r="AM37" s="857"/>
      <c r="AN37" s="113">
        <f t="shared" si="18"/>
        <v>169.10459118965079</v>
      </c>
      <c r="AO37" s="857"/>
      <c r="AP37" s="113">
        <f t="shared" si="12"/>
        <v>0</v>
      </c>
      <c r="AQ37" s="857"/>
      <c r="AR37" s="113">
        <f t="shared" si="13"/>
        <v>1.3</v>
      </c>
      <c r="AS37" s="857"/>
      <c r="AT37" s="113">
        <f t="shared" si="14"/>
        <v>1.0113910956318826E-2</v>
      </c>
      <c r="AU37" s="859"/>
      <c r="BA37" s="854">
        <v>2054</v>
      </c>
      <c r="BB37" s="855">
        <f>IF(ISBLANK(Tb_Fuel38[[#This Row],[Override]]),Tb_Fuel38[[#This Row],[Germany - Grid]],Tb_Fuel38[[#This Row],[Override]])</f>
        <v>0.107</v>
      </c>
      <c r="BC37" s="855">
        <f>IF(ISBLANK(Tb_Fuel38[[#This Row],[Override2]]),Tb_Fuel38[[#This Row],[France - Grid]],Tb_Fuel38[[#This Row],[Override2]])</f>
        <v>9.5000000000000001E-2</v>
      </c>
      <c r="BD37" s="855">
        <f>IF(ISBLANK(Tb_Fuel38[[#This Row],[Override3]]),Tb_Fuel38[[#This Row],[Spain - Grid]],Tb_Fuel38[[#This Row],[Override3]])</f>
        <v>0.11</v>
      </c>
      <c r="BE37" s="855">
        <f>IF(ISBLANK(Tb_Fuel38[[#This Row],[Override18]]),Tb_Fuel38[[#This Row],[Germany - Feed-in electricity price]],Tb_Fuel38[[#This Row],[Override18]])</f>
        <v>0</v>
      </c>
      <c r="BF37" s="855">
        <f>IF(ISBLANK(Tb_Fuel38[[#This Row],[Override220]]),Tb_Fuel38[[#This Row],[France - Feed-in electricity price]],Tb_Fuel38[[#This Row],[Override220]])</f>
        <v>0</v>
      </c>
      <c r="BG37" s="855">
        <f>IF(ISBLANK(Tb_Fuel38[[#This Row],[Override322]]),Tb_Fuel38[[#This Row],[Spain - Feed-in electricity price]],Tb_Fuel38[[#This Row],[Override322]])</f>
        <v>0</v>
      </c>
      <c r="BH37" s="855">
        <f>IF(ISBLANK(Tb_Fuel38[[#This Row],[Override183]]),Tb_Fuel38[[#This Row],[Norway - Feed-in electricity price]],Tb_Fuel38[[#This Row],[Override183]])</f>
        <v>0</v>
      </c>
      <c r="BI37" s="855">
        <f>IF(ISBLANK(Tb_Fuel38[[#This Row],[Override2205]]),Tb_Fuel38[[#This Row],[Qatar - Feed-in electricity price]],Tb_Fuel38[[#This Row],[Override2205]])</f>
        <v>0</v>
      </c>
      <c r="BJ37" s="855">
        <f>IF(ISBLANK(Tb_Fuel38[[#This Row],[Override3227]]),Tb_Fuel38[[#This Row],[Algeria - Feed-in electricity price]],Tb_Fuel38[[#This Row],[Override3227]])</f>
        <v>0</v>
      </c>
      <c r="BK37" s="855">
        <f>IF(ISBLANK(Tb_Fuel38[[#This Row],[Override4]]),Tb_Fuel38[[#This Row],[Germany - Gas]],Tb_Fuel38[[#This Row],[Override4]])</f>
        <v>2.8250000000000001E-2</v>
      </c>
      <c r="BL37" s="855">
        <f>IF(ISBLANK(Tb_Fuel38[[#This Row],[Override5]]),Tb_Fuel38[[#This Row],[France - Gas]],Tb_Fuel38[[#This Row],[Override5]])</f>
        <v>2.8250000000000001E-2</v>
      </c>
      <c r="BM37" s="855">
        <f>IF(ISBLANK(Tb_Fuel38[[#This Row],[Override6]]),Tb_Fuel38[[#This Row],[Spain - Gas]],Tb_Fuel38[[#This Row],[Override6]])</f>
        <v>2.8250000000000001E-2</v>
      </c>
      <c r="BN37" s="855">
        <f>IF(ISBLANK(Tb_Fuel38[[#This Row],[Override7]]),Tb_Fuel38[[#This Row],[Algeria - Gas]],Tb_Fuel38[[#This Row],[Override7]])</f>
        <v>3.0000000000000001E-3</v>
      </c>
      <c r="BO37" s="855">
        <f>IF(ISBLANK(Tb_Fuel38[[#This Row],[Override8]]),Tb_Fuel38[[#This Row],[Norway - Gas]],Tb_Fuel38[[#This Row],[Override8]])</f>
        <v>8.0000000000000002E-3</v>
      </c>
      <c r="BP37" s="855">
        <f>IF(ISBLANK(Tb_Fuel38[[#This Row],[Override9]]),Tb_Fuel38[[#This Row],[Qatar - Gas]],Tb_Fuel38[[#This Row],[Override9]])</f>
        <v>4.0000000000000001E-3</v>
      </c>
      <c r="BQ37" s="855">
        <f>IF(ISBLANK(Tb_Fuel38[[#This Row],[Override10]]),Tb_Fuel38[[#This Row],[Germany - CO2 Price]],Tb_Fuel38[[#This Row],[Override10]])</f>
        <v>169.10459118965079</v>
      </c>
      <c r="BR37" s="855">
        <f>IF(ISBLANK(Tb_Fuel38[[#This Row],[Override11]]),Tb_Fuel38[[#This Row],[France - CO2 Price]],Tb_Fuel38[[#This Row],[Override11]])</f>
        <v>169.10459118965079</v>
      </c>
      <c r="BS37" s="855">
        <f>IF(ISBLANK(Tb_Fuel38[[#This Row],[Override12]]),Tb_Fuel38[[#This Row],[Spain - CO2 Price]],Tb_Fuel38[[#This Row],[Override12]])</f>
        <v>169.10459118965079</v>
      </c>
      <c r="BT37" s="855">
        <f>IF(ISBLANK(Tb_Fuel38[[#This Row],[Override13]]),Tb_Fuel38[[#This Row],[Algeria - CO2 Price]],Tb_Fuel38[[#This Row],[Override13]])</f>
        <v>0</v>
      </c>
      <c r="BU37" s="855">
        <f>IF(ISBLANK(Tb_Fuel38[[#This Row],[Override14]]),Tb_Fuel38[[#This Row],[Norway - CO2 Price]],Tb_Fuel38[[#This Row],[Override14]])</f>
        <v>169.10459118965079</v>
      </c>
      <c r="BV37" s="855">
        <f>IF(ISBLANK(Tb_Fuel38[[#This Row],[Override15]]),Tb_Fuel38[[#This Row],[Qatar - CO2 Price]],Tb_Fuel38[[#This Row],[Override15]])</f>
        <v>0</v>
      </c>
      <c r="BW37" s="855">
        <f>IF(ISBLANK(Tb_Fuel38[[#This Row],[Override16]]),Tb_Fuel38[[#This Row],[Global - Diesel]],Tb_Fuel38[[#This Row],[Override16]])</f>
        <v>1.3</v>
      </c>
      <c r="BX37" s="855">
        <f>IF(ISBLANK(Tb_Fuel38[[#This Row],[Override17]]),Tb_Fuel38[[#This Row],[Global - HFO]],Tb_Fuel38[[#This Row],[Override17]])</f>
        <v>1.0113910956318826E-2</v>
      </c>
    </row>
    <row r="38" spans="1:76">
      <c r="A38" s="107">
        <v>2055</v>
      </c>
      <c r="B38" s="113">
        <f t="shared" si="3"/>
        <v>0.107</v>
      </c>
      <c r="C38" s="857"/>
      <c r="D38" s="113">
        <f t="shared" si="4"/>
        <v>9.5000000000000001E-2</v>
      </c>
      <c r="E38" s="857"/>
      <c r="F38" s="113">
        <f t="shared" si="15"/>
        <v>0.11</v>
      </c>
      <c r="G38" s="857"/>
      <c r="H38" s="113"/>
      <c r="I38" s="857"/>
      <c r="J38" s="113"/>
      <c r="K38" s="857"/>
      <c r="L38" s="113"/>
      <c r="M38" s="857"/>
      <c r="N38" s="113"/>
      <c r="O38" s="857"/>
      <c r="P38" s="113"/>
      <c r="Q38" s="857"/>
      <c r="R38" s="113"/>
      <c r="S38" s="857"/>
      <c r="T38" s="113">
        <f t="shared" si="5"/>
        <v>2.8250000000000001E-2</v>
      </c>
      <c r="U38" s="857"/>
      <c r="V38" s="113">
        <f t="shared" si="6"/>
        <v>2.8250000000000001E-2</v>
      </c>
      <c r="W38" s="857"/>
      <c r="X38" s="113">
        <f t="shared" si="7"/>
        <v>2.8250000000000001E-2</v>
      </c>
      <c r="Y38" s="857"/>
      <c r="Z38" s="113">
        <f t="shared" si="8"/>
        <v>3.0000000000000001E-3</v>
      </c>
      <c r="AA38" s="857"/>
      <c r="AB38" s="113">
        <f t="shared" si="9"/>
        <v>8.0000000000000002E-3</v>
      </c>
      <c r="AC38" s="857"/>
      <c r="AD38" s="113">
        <f t="shared" si="10"/>
        <v>4.0000000000000001E-3</v>
      </c>
      <c r="AE38" s="857"/>
      <c r="AF38" s="113">
        <f t="shared" si="19"/>
        <v>169.10459118965079</v>
      </c>
      <c r="AG38" s="857"/>
      <c r="AH38" s="113">
        <f t="shared" si="16"/>
        <v>169.10459118965079</v>
      </c>
      <c r="AI38" s="857"/>
      <c r="AJ38" s="113">
        <f t="shared" si="17"/>
        <v>169.10459118965079</v>
      </c>
      <c r="AK38" s="857"/>
      <c r="AL38" s="113">
        <f t="shared" si="11"/>
        <v>0</v>
      </c>
      <c r="AM38" s="857"/>
      <c r="AN38" s="113">
        <f t="shared" si="18"/>
        <v>169.10459118965079</v>
      </c>
      <c r="AO38" s="857"/>
      <c r="AP38" s="113">
        <f t="shared" si="12"/>
        <v>0</v>
      </c>
      <c r="AQ38" s="857"/>
      <c r="AR38" s="113">
        <f t="shared" si="13"/>
        <v>1.3</v>
      </c>
      <c r="AS38" s="857"/>
      <c r="AT38" s="113">
        <f t="shared" si="14"/>
        <v>1.0113910956318826E-2</v>
      </c>
      <c r="AU38" s="859"/>
      <c r="BA38" s="854">
        <v>2055</v>
      </c>
      <c r="BB38" s="855">
        <f>IF(ISBLANK(Tb_Fuel38[[#This Row],[Override]]),Tb_Fuel38[[#This Row],[Germany - Grid]],Tb_Fuel38[[#This Row],[Override]])</f>
        <v>0.107</v>
      </c>
      <c r="BC38" s="855">
        <f>IF(ISBLANK(Tb_Fuel38[[#This Row],[Override2]]),Tb_Fuel38[[#This Row],[France - Grid]],Tb_Fuel38[[#This Row],[Override2]])</f>
        <v>9.5000000000000001E-2</v>
      </c>
      <c r="BD38" s="855">
        <f>IF(ISBLANK(Tb_Fuel38[[#This Row],[Override3]]),Tb_Fuel38[[#This Row],[Spain - Grid]],Tb_Fuel38[[#This Row],[Override3]])</f>
        <v>0.11</v>
      </c>
      <c r="BE38" s="855">
        <f>IF(ISBLANK(Tb_Fuel38[[#This Row],[Override18]]),Tb_Fuel38[[#This Row],[Germany - Feed-in electricity price]],Tb_Fuel38[[#This Row],[Override18]])</f>
        <v>0</v>
      </c>
      <c r="BF38" s="855">
        <f>IF(ISBLANK(Tb_Fuel38[[#This Row],[Override220]]),Tb_Fuel38[[#This Row],[France - Feed-in electricity price]],Tb_Fuel38[[#This Row],[Override220]])</f>
        <v>0</v>
      </c>
      <c r="BG38" s="855">
        <f>IF(ISBLANK(Tb_Fuel38[[#This Row],[Override322]]),Tb_Fuel38[[#This Row],[Spain - Feed-in electricity price]],Tb_Fuel38[[#This Row],[Override322]])</f>
        <v>0</v>
      </c>
      <c r="BH38" s="855">
        <f>IF(ISBLANK(Tb_Fuel38[[#This Row],[Override183]]),Tb_Fuel38[[#This Row],[Norway - Feed-in electricity price]],Tb_Fuel38[[#This Row],[Override183]])</f>
        <v>0</v>
      </c>
      <c r="BI38" s="855">
        <f>IF(ISBLANK(Tb_Fuel38[[#This Row],[Override2205]]),Tb_Fuel38[[#This Row],[Qatar - Feed-in electricity price]],Tb_Fuel38[[#This Row],[Override2205]])</f>
        <v>0</v>
      </c>
      <c r="BJ38" s="855">
        <f>IF(ISBLANK(Tb_Fuel38[[#This Row],[Override3227]]),Tb_Fuel38[[#This Row],[Algeria - Feed-in electricity price]],Tb_Fuel38[[#This Row],[Override3227]])</f>
        <v>0</v>
      </c>
      <c r="BK38" s="855">
        <f>IF(ISBLANK(Tb_Fuel38[[#This Row],[Override4]]),Tb_Fuel38[[#This Row],[Germany - Gas]],Tb_Fuel38[[#This Row],[Override4]])</f>
        <v>2.8250000000000001E-2</v>
      </c>
      <c r="BL38" s="855">
        <f>IF(ISBLANK(Tb_Fuel38[[#This Row],[Override5]]),Tb_Fuel38[[#This Row],[France - Gas]],Tb_Fuel38[[#This Row],[Override5]])</f>
        <v>2.8250000000000001E-2</v>
      </c>
      <c r="BM38" s="855">
        <f>IF(ISBLANK(Tb_Fuel38[[#This Row],[Override6]]),Tb_Fuel38[[#This Row],[Spain - Gas]],Tb_Fuel38[[#This Row],[Override6]])</f>
        <v>2.8250000000000001E-2</v>
      </c>
      <c r="BN38" s="855">
        <f>IF(ISBLANK(Tb_Fuel38[[#This Row],[Override7]]),Tb_Fuel38[[#This Row],[Algeria - Gas]],Tb_Fuel38[[#This Row],[Override7]])</f>
        <v>3.0000000000000001E-3</v>
      </c>
      <c r="BO38" s="855">
        <f>IF(ISBLANK(Tb_Fuel38[[#This Row],[Override8]]),Tb_Fuel38[[#This Row],[Norway - Gas]],Tb_Fuel38[[#This Row],[Override8]])</f>
        <v>8.0000000000000002E-3</v>
      </c>
      <c r="BP38" s="855">
        <f>IF(ISBLANK(Tb_Fuel38[[#This Row],[Override9]]),Tb_Fuel38[[#This Row],[Qatar - Gas]],Tb_Fuel38[[#This Row],[Override9]])</f>
        <v>4.0000000000000001E-3</v>
      </c>
      <c r="BQ38" s="855">
        <f>IF(ISBLANK(Tb_Fuel38[[#This Row],[Override10]]),Tb_Fuel38[[#This Row],[Germany - CO2 Price]],Tb_Fuel38[[#This Row],[Override10]])</f>
        <v>169.10459118965079</v>
      </c>
      <c r="BR38" s="855">
        <f>IF(ISBLANK(Tb_Fuel38[[#This Row],[Override11]]),Tb_Fuel38[[#This Row],[France - CO2 Price]],Tb_Fuel38[[#This Row],[Override11]])</f>
        <v>169.10459118965079</v>
      </c>
      <c r="BS38" s="855">
        <f>IF(ISBLANK(Tb_Fuel38[[#This Row],[Override12]]),Tb_Fuel38[[#This Row],[Spain - CO2 Price]],Tb_Fuel38[[#This Row],[Override12]])</f>
        <v>169.10459118965079</v>
      </c>
      <c r="BT38" s="855">
        <f>IF(ISBLANK(Tb_Fuel38[[#This Row],[Override13]]),Tb_Fuel38[[#This Row],[Algeria - CO2 Price]],Tb_Fuel38[[#This Row],[Override13]])</f>
        <v>0</v>
      </c>
      <c r="BU38" s="855">
        <f>IF(ISBLANK(Tb_Fuel38[[#This Row],[Override14]]),Tb_Fuel38[[#This Row],[Norway - CO2 Price]],Tb_Fuel38[[#This Row],[Override14]])</f>
        <v>169.10459118965079</v>
      </c>
      <c r="BV38" s="855">
        <f>IF(ISBLANK(Tb_Fuel38[[#This Row],[Override15]]),Tb_Fuel38[[#This Row],[Qatar - CO2 Price]],Tb_Fuel38[[#This Row],[Override15]])</f>
        <v>0</v>
      </c>
      <c r="BW38" s="855">
        <f>IF(ISBLANK(Tb_Fuel38[[#This Row],[Override16]]),Tb_Fuel38[[#This Row],[Global - Diesel]],Tb_Fuel38[[#This Row],[Override16]])</f>
        <v>1.3</v>
      </c>
      <c r="BX38" s="855">
        <f>IF(ISBLANK(Tb_Fuel38[[#This Row],[Override17]]),Tb_Fuel38[[#This Row],[Global - HFO]],Tb_Fuel38[[#This Row],[Override17]])</f>
        <v>1.0113910956318826E-2</v>
      </c>
    </row>
    <row r="39" spans="1:76">
      <c r="A39" s="107">
        <v>2056</v>
      </c>
      <c r="B39" s="113">
        <f t="shared" si="3"/>
        <v>0.107</v>
      </c>
      <c r="C39" s="857"/>
      <c r="D39" s="113">
        <f t="shared" si="4"/>
        <v>9.5000000000000001E-2</v>
      </c>
      <c r="E39" s="857"/>
      <c r="F39" s="113">
        <f t="shared" si="15"/>
        <v>0.11</v>
      </c>
      <c r="G39" s="857"/>
      <c r="H39" s="113"/>
      <c r="I39" s="857"/>
      <c r="J39" s="113"/>
      <c r="K39" s="857"/>
      <c r="L39" s="113"/>
      <c r="M39" s="857"/>
      <c r="N39" s="113"/>
      <c r="O39" s="857"/>
      <c r="P39" s="113"/>
      <c r="Q39" s="857"/>
      <c r="R39" s="113"/>
      <c r="S39" s="857"/>
      <c r="T39" s="113">
        <f t="shared" si="5"/>
        <v>2.8250000000000001E-2</v>
      </c>
      <c r="U39" s="857"/>
      <c r="V39" s="113">
        <f t="shared" si="6"/>
        <v>2.8250000000000001E-2</v>
      </c>
      <c r="W39" s="857"/>
      <c r="X39" s="113">
        <f t="shared" si="7"/>
        <v>2.8250000000000001E-2</v>
      </c>
      <c r="Y39" s="857"/>
      <c r="Z39" s="113">
        <f t="shared" si="8"/>
        <v>3.0000000000000001E-3</v>
      </c>
      <c r="AA39" s="857"/>
      <c r="AB39" s="113">
        <f t="shared" si="9"/>
        <v>8.0000000000000002E-3</v>
      </c>
      <c r="AC39" s="857"/>
      <c r="AD39" s="113">
        <f t="shared" si="10"/>
        <v>4.0000000000000001E-3</v>
      </c>
      <c r="AE39" s="857"/>
      <c r="AF39" s="113">
        <f t="shared" si="19"/>
        <v>169.10459118965079</v>
      </c>
      <c r="AG39" s="857"/>
      <c r="AH39" s="113">
        <f t="shared" si="16"/>
        <v>169.10459118965079</v>
      </c>
      <c r="AI39" s="857"/>
      <c r="AJ39" s="113">
        <f t="shared" si="17"/>
        <v>169.10459118965079</v>
      </c>
      <c r="AK39" s="857"/>
      <c r="AL39" s="113">
        <f t="shared" si="11"/>
        <v>0</v>
      </c>
      <c r="AM39" s="857"/>
      <c r="AN39" s="113">
        <f t="shared" si="18"/>
        <v>169.10459118965079</v>
      </c>
      <c r="AO39" s="857"/>
      <c r="AP39" s="113">
        <f t="shared" si="12"/>
        <v>0</v>
      </c>
      <c r="AQ39" s="857"/>
      <c r="AR39" s="113">
        <f t="shared" si="13"/>
        <v>1.3</v>
      </c>
      <c r="AS39" s="857"/>
      <c r="AT39" s="113">
        <f t="shared" si="14"/>
        <v>1.0113910956318826E-2</v>
      </c>
      <c r="AU39" s="859"/>
      <c r="BA39" s="854">
        <v>2056</v>
      </c>
      <c r="BB39" s="855">
        <f>IF(ISBLANK(Tb_Fuel38[[#This Row],[Override]]),Tb_Fuel38[[#This Row],[Germany - Grid]],Tb_Fuel38[[#This Row],[Override]])</f>
        <v>0.107</v>
      </c>
      <c r="BC39" s="855">
        <f>IF(ISBLANK(Tb_Fuel38[[#This Row],[Override2]]),Tb_Fuel38[[#This Row],[France - Grid]],Tb_Fuel38[[#This Row],[Override2]])</f>
        <v>9.5000000000000001E-2</v>
      </c>
      <c r="BD39" s="855">
        <f>IF(ISBLANK(Tb_Fuel38[[#This Row],[Override3]]),Tb_Fuel38[[#This Row],[Spain - Grid]],Tb_Fuel38[[#This Row],[Override3]])</f>
        <v>0.11</v>
      </c>
      <c r="BE39" s="855">
        <f>IF(ISBLANK(Tb_Fuel38[[#This Row],[Override18]]),Tb_Fuel38[[#This Row],[Germany - Feed-in electricity price]],Tb_Fuel38[[#This Row],[Override18]])</f>
        <v>0</v>
      </c>
      <c r="BF39" s="855">
        <f>IF(ISBLANK(Tb_Fuel38[[#This Row],[Override220]]),Tb_Fuel38[[#This Row],[France - Feed-in electricity price]],Tb_Fuel38[[#This Row],[Override220]])</f>
        <v>0</v>
      </c>
      <c r="BG39" s="855">
        <f>IF(ISBLANK(Tb_Fuel38[[#This Row],[Override322]]),Tb_Fuel38[[#This Row],[Spain - Feed-in electricity price]],Tb_Fuel38[[#This Row],[Override322]])</f>
        <v>0</v>
      </c>
      <c r="BH39" s="855">
        <f>IF(ISBLANK(Tb_Fuel38[[#This Row],[Override183]]),Tb_Fuel38[[#This Row],[Norway - Feed-in electricity price]],Tb_Fuel38[[#This Row],[Override183]])</f>
        <v>0</v>
      </c>
      <c r="BI39" s="855">
        <f>IF(ISBLANK(Tb_Fuel38[[#This Row],[Override2205]]),Tb_Fuel38[[#This Row],[Qatar - Feed-in electricity price]],Tb_Fuel38[[#This Row],[Override2205]])</f>
        <v>0</v>
      </c>
      <c r="BJ39" s="855">
        <f>IF(ISBLANK(Tb_Fuel38[[#This Row],[Override3227]]),Tb_Fuel38[[#This Row],[Algeria - Feed-in electricity price]],Tb_Fuel38[[#This Row],[Override3227]])</f>
        <v>0</v>
      </c>
      <c r="BK39" s="855">
        <f>IF(ISBLANK(Tb_Fuel38[[#This Row],[Override4]]),Tb_Fuel38[[#This Row],[Germany - Gas]],Tb_Fuel38[[#This Row],[Override4]])</f>
        <v>2.8250000000000001E-2</v>
      </c>
      <c r="BL39" s="855">
        <f>IF(ISBLANK(Tb_Fuel38[[#This Row],[Override5]]),Tb_Fuel38[[#This Row],[France - Gas]],Tb_Fuel38[[#This Row],[Override5]])</f>
        <v>2.8250000000000001E-2</v>
      </c>
      <c r="BM39" s="855">
        <f>IF(ISBLANK(Tb_Fuel38[[#This Row],[Override6]]),Tb_Fuel38[[#This Row],[Spain - Gas]],Tb_Fuel38[[#This Row],[Override6]])</f>
        <v>2.8250000000000001E-2</v>
      </c>
      <c r="BN39" s="855">
        <f>IF(ISBLANK(Tb_Fuel38[[#This Row],[Override7]]),Tb_Fuel38[[#This Row],[Algeria - Gas]],Tb_Fuel38[[#This Row],[Override7]])</f>
        <v>3.0000000000000001E-3</v>
      </c>
      <c r="BO39" s="855">
        <f>IF(ISBLANK(Tb_Fuel38[[#This Row],[Override8]]),Tb_Fuel38[[#This Row],[Norway - Gas]],Tb_Fuel38[[#This Row],[Override8]])</f>
        <v>8.0000000000000002E-3</v>
      </c>
      <c r="BP39" s="855">
        <f>IF(ISBLANK(Tb_Fuel38[[#This Row],[Override9]]),Tb_Fuel38[[#This Row],[Qatar - Gas]],Tb_Fuel38[[#This Row],[Override9]])</f>
        <v>4.0000000000000001E-3</v>
      </c>
      <c r="BQ39" s="855">
        <f>IF(ISBLANK(Tb_Fuel38[[#This Row],[Override10]]),Tb_Fuel38[[#This Row],[Germany - CO2 Price]],Tb_Fuel38[[#This Row],[Override10]])</f>
        <v>169.10459118965079</v>
      </c>
      <c r="BR39" s="855">
        <f>IF(ISBLANK(Tb_Fuel38[[#This Row],[Override11]]),Tb_Fuel38[[#This Row],[France - CO2 Price]],Tb_Fuel38[[#This Row],[Override11]])</f>
        <v>169.10459118965079</v>
      </c>
      <c r="BS39" s="855">
        <f>IF(ISBLANK(Tb_Fuel38[[#This Row],[Override12]]),Tb_Fuel38[[#This Row],[Spain - CO2 Price]],Tb_Fuel38[[#This Row],[Override12]])</f>
        <v>169.10459118965079</v>
      </c>
      <c r="BT39" s="855">
        <f>IF(ISBLANK(Tb_Fuel38[[#This Row],[Override13]]),Tb_Fuel38[[#This Row],[Algeria - CO2 Price]],Tb_Fuel38[[#This Row],[Override13]])</f>
        <v>0</v>
      </c>
      <c r="BU39" s="855">
        <f>IF(ISBLANK(Tb_Fuel38[[#This Row],[Override14]]),Tb_Fuel38[[#This Row],[Norway - CO2 Price]],Tb_Fuel38[[#This Row],[Override14]])</f>
        <v>169.10459118965079</v>
      </c>
      <c r="BV39" s="855">
        <f>IF(ISBLANK(Tb_Fuel38[[#This Row],[Override15]]),Tb_Fuel38[[#This Row],[Qatar - CO2 Price]],Tb_Fuel38[[#This Row],[Override15]])</f>
        <v>0</v>
      </c>
      <c r="BW39" s="855">
        <f>IF(ISBLANK(Tb_Fuel38[[#This Row],[Override16]]),Tb_Fuel38[[#This Row],[Global - Diesel]],Tb_Fuel38[[#This Row],[Override16]])</f>
        <v>1.3</v>
      </c>
      <c r="BX39" s="855">
        <f>IF(ISBLANK(Tb_Fuel38[[#This Row],[Override17]]),Tb_Fuel38[[#This Row],[Global - HFO]],Tb_Fuel38[[#This Row],[Override17]])</f>
        <v>1.0113910956318826E-2</v>
      </c>
    </row>
    <row r="40" spans="1:76">
      <c r="A40" s="107">
        <v>2057</v>
      </c>
      <c r="B40" s="113">
        <f t="shared" si="3"/>
        <v>0.107</v>
      </c>
      <c r="C40" s="857"/>
      <c r="D40" s="113">
        <f t="shared" si="4"/>
        <v>9.5000000000000001E-2</v>
      </c>
      <c r="E40" s="857"/>
      <c r="F40" s="113">
        <f t="shared" si="15"/>
        <v>0.11</v>
      </c>
      <c r="G40" s="857"/>
      <c r="H40" s="113"/>
      <c r="I40" s="857"/>
      <c r="J40" s="113"/>
      <c r="K40" s="857"/>
      <c r="L40" s="113"/>
      <c r="M40" s="857"/>
      <c r="N40" s="113"/>
      <c r="O40" s="857"/>
      <c r="P40" s="113"/>
      <c r="Q40" s="857"/>
      <c r="R40" s="113"/>
      <c r="S40" s="857"/>
      <c r="T40" s="113">
        <f t="shared" si="5"/>
        <v>2.8250000000000001E-2</v>
      </c>
      <c r="U40" s="857"/>
      <c r="V40" s="113">
        <f t="shared" si="6"/>
        <v>2.8250000000000001E-2</v>
      </c>
      <c r="W40" s="857"/>
      <c r="X40" s="113">
        <f t="shared" si="7"/>
        <v>2.8250000000000001E-2</v>
      </c>
      <c r="Y40" s="857"/>
      <c r="Z40" s="113">
        <f t="shared" si="8"/>
        <v>3.0000000000000001E-3</v>
      </c>
      <c r="AA40" s="857"/>
      <c r="AB40" s="113">
        <f t="shared" si="9"/>
        <v>8.0000000000000002E-3</v>
      </c>
      <c r="AC40" s="857"/>
      <c r="AD40" s="113">
        <f t="shared" si="10"/>
        <v>4.0000000000000001E-3</v>
      </c>
      <c r="AE40" s="857"/>
      <c r="AF40" s="113">
        <f t="shared" si="19"/>
        <v>169.10459118965079</v>
      </c>
      <c r="AG40" s="857"/>
      <c r="AH40" s="113">
        <f t="shared" si="16"/>
        <v>169.10459118965079</v>
      </c>
      <c r="AI40" s="857"/>
      <c r="AJ40" s="113">
        <f t="shared" si="17"/>
        <v>169.10459118965079</v>
      </c>
      <c r="AK40" s="857"/>
      <c r="AL40" s="113">
        <f t="shared" si="11"/>
        <v>0</v>
      </c>
      <c r="AM40" s="857"/>
      <c r="AN40" s="113">
        <f t="shared" si="18"/>
        <v>169.10459118965079</v>
      </c>
      <c r="AO40" s="857"/>
      <c r="AP40" s="113">
        <f t="shared" si="12"/>
        <v>0</v>
      </c>
      <c r="AQ40" s="857"/>
      <c r="AR40" s="113">
        <f t="shared" si="13"/>
        <v>1.3</v>
      </c>
      <c r="AS40" s="857"/>
      <c r="AT40" s="113">
        <f t="shared" si="14"/>
        <v>1.0113910956318826E-2</v>
      </c>
      <c r="AU40" s="859"/>
      <c r="BA40" s="854">
        <v>2057</v>
      </c>
      <c r="BB40" s="855">
        <f>IF(ISBLANK(Tb_Fuel38[[#This Row],[Override]]),Tb_Fuel38[[#This Row],[Germany - Grid]],Tb_Fuel38[[#This Row],[Override]])</f>
        <v>0.107</v>
      </c>
      <c r="BC40" s="855">
        <f>IF(ISBLANK(Tb_Fuel38[[#This Row],[Override2]]),Tb_Fuel38[[#This Row],[France - Grid]],Tb_Fuel38[[#This Row],[Override2]])</f>
        <v>9.5000000000000001E-2</v>
      </c>
      <c r="BD40" s="855">
        <f>IF(ISBLANK(Tb_Fuel38[[#This Row],[Override3]]),Tb_Fuel38[[#This Row],[Spain - Grid]],Tb_Fuel38[[#This Row],[Override3]])</f>
        <v>0.11</v>
      </c>
      <c r="BE40" s="855">
        <f>IF(ISBLANK(Tb_Fuel38[[#This Row],[Override18]]),Tb_Fuel38[[#This Row],[Germany - Feed-in electricity price]],Tb_Fuel38[[#This Row],[Override18]])</f>
        <v>0</v>
      </c>
      <c r="BF40" s="855">
        <f>IF(ISBLANK(Tb_Fuel38[[#This Row],[Override220]]),Tb_Fuel38[[#This Row],[France - Feed-in electricity price]],Tb_Fuel38[[#This Row],[Override220]])</f>
        <v>0</v>
      </c>
      <c r="BG40" s="855">
        <f>IF(ISBLANK(Tb_Fuel38[[#This Row],[Override322]]),Tb_Fuel38[[#This Row],[Spain - Feed-in electricity price]],Tb_Fuel38[[#This Row],[Override322]])</f>
        <v>0</v>
      </c>
      <c r="BH40" s="855">
        <f>IF(ISBLANK(Tb_Fuel38[[#This Row],[Override183]]),Tb_Fuel38[[#This Row],[Norway - Feed-in electricity price]],Tb_Fuel38[[#This Row],[Override183]])</f>
        <v>0</v>
      </c>
      <c r="BI40" s="855">
        <f>IF(ISBLANK(Tb_Fuel38[[#This Row],[Override2205]]),Tb_Fuel38[[#This Row],[Qatar - Feed-in electricity price]],Tb_Fuel38[[#This Row],[Override2205]])</f>
        <v>0</v>
      </c>
      <c r="BJ40" s="855">
        <f>IF(ISBLANK(Tb_Fuel38[[#This Row],[Override3227]]),Tb_Fuel38[[#This Row],[Algeria - Feed-in electricity price]],Tb_Fuel38[[#This Row],[Override3227]])</f>
        <v>0</v>
      </c>
      <c r="BK40" s="855">
        <f>IF(ISBLANK(Tb_Fuel38[[#This Row],[Override4]]),Tb_Fuel38[[#This Row],[Germany - Gas]],Tb_Fuel38[[#This Row],[Override4]])</f>
        <v>2.8250000000000001E-2</v>
      </c>
      <c r="BL40" s="855">
        <f>IF(ISBLANK(Tb_Fuel38[[#This Row],[Override5]]),Tb_Fuel38[[#This Row],[France - Gas]],Tb_Fuel38[[#This Row],[Override5]])</f>
        <v>2.8250000000000001E-2</v>
      </c>
      <c r="BM40" s="855">
        <f>IF(ISBLANK(Tb_Fuel38[[#This Row],[Override6]]),Tb_Fuel38[[#This Row],[Spain - Gas]],Tb_Fuel38[[#This Row],[Override6]])</f>
        <v>2.8250000000000001E-2</v>
      </c>
      <c r="BN40" s="855">
        <f>IF(ISBLANK(Tb_Fuel38[[#This Row],[Override7]]),Tb_Fuel38[[#This Row],[Algeria - Gas]],Tb_Fuel38[[#This Row],[Override7]])</f>
        <v>3.0000000000000001E-3</v>
      </c>
      <c r="BO40" s="855">
        <f>IF(ISBLANK(Tb_Fuel38[[#This Row],[Override8]]),Tb_Fuel38[[#This Row],[Norway - Gas]],Tb_Fuel38[[#This Row],[Override8]])</f>
        <v>8.0000000000000002E-3</v>
      </c>
      <c r="BP40" s="855">
        <f>IF(ISBLANK(Tb_Fuel38[[#This Row],[Override9]]),Tb_Fuel38[[#This Row],[Qatar - Gas]],Tb_Fuel38[[#This Row],[Override9]])</f>
        <v>4.0000000000000001E-3</v>
      </c>
      <c r="BQ40" s="855">
        <f>IF(ISBLANK(Tb_Fuel38[[#This Row],[Override10]]),Tb_Fuel38[[#This Row],[Germany - CO2 Price]],Tb_Fuel38[[#This Row],[Override10]])</f>
        <v>169.10459118965079</v>
      </c>
      <c r="BR40" s="855">
        <f>IF(ISBLANK(Tb_Fuel38[[#This Row],[Override11]]),Tb_Fuel38[[#This Row],[France - CO2 Price]],Tb_Fuel38[[#This Row],[Override11]])</f>
        <v>169.10459118965079</v>
      </c>
      <c r="BS40" s="855">
        <f>IF(ISBLANK(Tb_Fuel38[[#This Row],[Override12]]),Tb_Fuel38[[#This Row],[Spain - CO2 Price]],Tb_Fuel38[[#This Row],[Override12]])</f>
        <v>169.10459118965079</v>
      </c>
      <c r="BT40" s="855">
        <f>IF(ISBLANK(Tb_Fuel38[[#This Row],[Override13]]),Tb_Fuel38[[#This Row],[Algeria - CO2 Price]],Tb_Fuel38[[#This Row],[Override13]])</f>
        <v>0</v>
      </c>
      <c r="BU40" s="855">
        <f>IF(ISBLANK(Tb_Fuel38[[#This Row],[Override14]]),Tb_Fuel38[[#This Row],[Norway - CO2 Price]],Tb_Fuel38[[#This Row],[Override14]])</f>
        <v>169.10459118965079</v>
      </c>
      <c r="BV40" s="855">
        <f>IF(ISBLANK(Tb_Fuel38[[#This Row],[Override15]]),Tb_Fuel38[[#This Row],[Qatar - CO2 Price]],Tb_Fuel38[[#This Row],[Override15]])</f>
        <v>0</v>
      </c>
      <c r="BW40" s="855">
        <f>IF(ISBLANK(Tb_Fuel38[[#This Row],[Override16]]),Tb_Fuel38[[#This Row],[Global - Diesel]],Tb_Fuel38[[#This Row],[Override16]])</f>
        <v>1.3</v>
      </c>
      <c r="BX40" s="855">
        <f>IF(ISBLANK(Tb_Fuel38[[#This Row],[Override17]]),Tb_Fuel38[[#This Row],[Global - HFO]],Tb_Fuel38[[#This Row],[Override17]])</f>
        <v>1.0113910956318826E-2</v>
      </c>
    </row>
    <row r="41" spans="1:76">
      <c r="A41" s="107">
        <v>2058</v>
      </c>
      <c r="B41" s="113">
        <f t="shared" si="3"/>
        <v>0.107</v>
      </c>
      <c r="C41" s="857"/>
      <c r="D41" s="113">
        <f t="shared" si="4"/>
        <v>9.5000000000000001E-2</v>
      </c>
      <c r="E41" s="857"/>
      <c r="F41" s="113">
        <f t="shared" si="15"/>
        <v>0.11</v>
      </c>
      <c r="G41" s="857"/>
      <c r="H41" s="113"/>
      <c r="I41" s="857"/>
      <c r="J41" s="113"/>
      <c r="K41" s="857"/>
      <c r="L41" s="113"/>
      <c r="M41" s="857"/>
      <c r="N41" s="113"/>
      <c r="O41" s="857"/>
      <c r="P41" s="113"/>
      <c r="Q41" s="857"/>
      <c r="R41" s="113"/>
      <c r="S41" s="857"/>
      <c r="T41" s="113">
        <f t="shared" si="5"/>
        <v>2.8250000000000001E-2</v>
      </c>
      <c r="U41" s="857"/>
      <c r="V41" s="113">
        <f t="shared" si="6"/>
        <v>2.8250000000000001E-2</v>
      </c>
      <c r="W41" s="857"/>
      <c r="X41" s="113">
        <f t="shared" si="7"/>
        <v>2.8250000000000001E-2</v>
      </c>
      <c r="Y41" s="857"/>
      <c r="Z41" s="113">
        <f t="shared" si="8"/>
        <v>3.0000000000000001E-3</v>
      </c>
      <c r="AA41" s="857"/>
      <c r="AB41" s="113">
        <f t="shared" si="9"/>
        <v>8.0000000000000002E-3</v>
      </c>
      <c r="AC41" s="857"/>
      <c r="AD41" s="113">
        <f t="shared" si="10"/>
        <v>4.0000000000000001E-3</v>
      </c>
      <c r="AE41" s="857"/>
      <c r="AF41" s="113">
        <f t="shared" si="19"/>
        <v>169.10459118965079</v>
      </c>
      <c r="AG41" s="857"/>
      <c r="AH41" s="113">
        <f t="shared" si="16"/>
        <v>169.10459118965079</v>
      </c>
      <c r="AI41" s="857"/>
      <c r="AJ41" s="113">
        <f t="shared" si="17"/>
        <v>169.10459118965079</v>
      </c>
      <c r="AK41" s="857"/>
      <c r="AL41" s="113">
        <f t="shared" si="11"/>
        <v>0</v>
      </c>
      <c r="AM41" s="857"/>
      <c r="AN41" s="113">
        <f t="shared" si="18"/>
        <v>169.10459118965079</v>
      </c>
      <c r="AO41" s="857"/>
      <c r="AP41" s="113">
        <f t="shared" si="12"/>
        <v>0</v>
      </c>
      <c r="AQ41" s="857"/>
      <c r="AR41" s="113">
        <f t="shared" si="13"/>
        <v>1.3</v>
      </c>
      <c r="AS41" s="857"/>
      <c r="AT41" s="113">
        <f t="shared" si="14"/>
        <v>1.0113910956318826E-2</v>
      </c>
      <c r="AU41" s="859"/>
      <c r="BA41" s="854">
        <v>2058</v>
      </c>
      <c r="BB41" s="855">
        <f>IF(ISBLANK(Tb_Fuel38[[#This Row],[Override]]),Tb_Fuel38[[#This Row],[Germany - Grid]],Tb_Fuel38[[#This Row],[Override]])</f>
        <v>0.107</v>
      </c>
      <c r="BC41" s="855">
        <f>IF(ISBLANK(Tb_Fuel38[[#This Row],[Override2]]),Tb_Fuel38[[#This Row],[France - Grid]],Tb_Fuel38[[#This Row],[Override2]])</f>
        <v>9.5000000000000001E-2</v>
      </c>
      <c r="BD41" s="855">
        <f>IF(ISBLANK(Tb_Fuel38[[#This Row],[Override3]]),Tb_Fuel38[[#This Row],[Spain - Grid]],Tb_Fuel38[[#This Row],[Override3]])</f>
        <v>0.11</v>
      </c>
      <c r="BE41" s="855">
        <f>IF(ISBLANK(Tb_Fuel38[[#This Row],[Override18]]),Tb_Fuel38[[#This Row],[Germany - Feed-in electricity price]],Tb_Fuel38[[#This Row],[Override18]])</f>
        <v>0</v>
      </c>
      <c r="BF41" s="855">
        <f>IF(ISBLANK(Tb_Fuel38[[#This Row],[Override220]]),Tb_Fuel38[[#This Row],[France - Feed-in electricity price]],Tb_Fuel38[[#This Row],[Override220]])</f>
        <v>0</v>
      </c>
      <c r="BG41" s="855">
        <f>IF(ISBLANK(Tb_Fuel38[[#This Row],[Override322]]),Tb_Fuel38[[#This Row],[Spain - Feed-in electricity price]],Tb_Fuel38[[#This Row],[Override322]])</f>
        <v>0</v>
      </c>
      <c r="BH41" s="855">
        <f>IF(ISBLANK(Tb_Fuel38[[#This Row],[Override183]]),Tb_Fuel38[[#This Row],[Norway - Feed-in electricity price]],Tb_Fuel38[[#This Row],[Override183]])</f>
        <v>0</v>
      </c>
      <c r="BI41" s="855">
        <f>IF(ISBLANK(Tb_Fuel38[[#This Row],[Override2205]]),Tb_Fuel38[[#This Row],[Qatar - Feed-in electricity price]],Tb_Fuel38[[#This Row],[Override2205]])</f>
        <v>0</v>
      </c>
      <c r="BJ41" s="855">
        <f>IF(ISBLANK(Tb_Fuel38[[#This Row],[Override3227]]),Tb_Fuel38[[#This Row],[Algeria - Feed-in electricity price]],Tb_Fuel38[[#This Row],[Override3227]])</f>
        <v>0</v>
      </c>
      <c r="BK41" s="855">
        <f>IF(ISBLANK(Tb_Fuel38[[#This Row],[Override4]]),Tb_Fuel38[[#This Row],[Germany - Gas]],Tb_Fuel38[[#This Row],[Override4]])</f>
        <v>2.8250000000000001E-2</v>
      </c>
      <c r="BL41" s="855">
        <f>IF(ISBLANK(Tb_Fuel38[[#This Row],[Override5]]),Tb_Fuel38[[#This Row],[France - Gas]],Tb_Fuel38[[#This Row],[Override5]])</f>
        <v>2.8250000000000001E-2</v>
      </c>
      <c r="BM41" s="855">
        <f>IF(ISBLANK(Tb_Fuel38[[#This Row],[Override6]]),Tb_Fuel38[[#This Row],[Spain - Gas]],Tb_Fuel38[[#This Row],[Override6]])</f>
        <v>2.8250000000000001E-2</v>
      </c>
      <c r="BN41" s="855">
        <f>IF(ISBLANK(Tb_Fuel38[[#This Row],[Override7]]),Tb_Fuel38[[#This Row],[Algeria - Gas]],Tb_Fuel38[[#This Row],[Override7]])</f>
        <v>3.0000000000000001E-3</v>
      </c>
      <c r="BO41" s="855">
        <f>IF(ISBLANK(Tb_Fuel38[[#This Row],[Override8]]),Tb_Fuel38[[#This Row],[Norway - Gas]],Tb_Fuel38[[#This Row],[Override8]])</f>
        <v>8.0000000000000002E-3</v>
      </c>
      <c r="BP41" s="855">
        <f>IF(ISBLANK(Tb_Fuel38[[#This Row],[Override9]]),Tb_Fuel38[[#This Row],[Qatar - Gas]],Tb_Fuel38[[#This Row],[Override9]])</f>
        <v>4.0000000000000001E-3</v>
      </c>
      <c r="BQ41" s="855">
        <f>IF(ISBLANK(Tb_Fuel38[[#This Row],[Override10]]),Tb_Fuel38[[#This Row],[Germany - CO2 Price]],Tb_Fuel38[[#This Row],[Override10]])</f>
        <v>169.10459118965079</v>
      </c>
      <c r="BR41" s="855">
        <f>IF(ISBLANK(Tb_Fuel38[[#This Row],[Override11]]),Tb_Fuel38[[#This Row],[France - CO2 Price]],Tb_Fuel38[[#This Row],[Override11]])</f>
        <v>169.10459118965079</v>
      </c>
      <c r="BS41" s="855">
        <f>IF(ISBLANK(Tb_Fuel38[[#This Row],[Override12]]),Tb_Fuel38[[#This Row],[Spain - CO2 Price]],Tb_Fuel38[[#This Row],[Override12]])</f>
        <v>169.10459118965079</v>
      </c>
      <c r="BT41" s="855">
        <f>IF(ISBLANK(Tb_Fuel38[[#This Row],[Override13]]),Tb_Fuel38[[#This Row],[Algeria - CO2 Price]],Tb_Fuel38[[#This Row],[Override13]])</f>
        <v>0</v>
      </c>
      <c r="BU41" s="855">
        <f>IF(ISBLANK(Tb_Fuel38[[#This Row],[Override14]]),Tb_Fuel38[[#This Row],[Norway - CO2 Price]],Tb_Fuel38[[#This Row],[Override14]])</f>
        <v>169.10459118965079</v>
      </c>
      <c r="BV41" s="855">
        <f>IF(ISBLANK(Tb_Fuel38[[#This Row],[Override15]]),Tb_Fuel38[[#This Row],[Qatar - CO2 Price]],Tb_Fuel38[[#This Row],[Override15]])</f>
        <v>0</v>
      </c>
      <c r="BW41" s="855">
        <f>IF(ISBLANK(Tb_Fuel38[[#This Row],[Override16]]),Tb_Fuel38[[#This Row],[Global - Diesel]],Tb_Fuel38[[#This Row],[Override16]])</f>
        <v>1.3</v>
      </c>
      <c r="BX41" s="855">
        <f>IF(ISBLANK(Tb_Fuel38[[#This Row],[Override17]]),Tb_Fuel38[[#This Row],[Global - HFO]],Tb_Fuel38[[#This Row],[Override17]])</f>
        <v>1.0113910956318826E-2</v>
      </c>
    </row>
    <row r="42" spans="1:76">
      <c r="A42" s="107">
        <v>2059</v>
      </c>
      <c r="B42" s="113">
        <f t="shared" si="3"/>
        <v>0.107</v>
      </c>
      <c r="C42" s="857"/>
      <c r="D42" s="113">
        <f t="shared" si="4"/>
        <v>9.5000000000000001E-2</v>
      </c>
      <c r="E42" s="857"/>
      <c r="F42" s="113">
        <f t="shared" si="15"/>
        <v>0.11</v>
      </c>
      <c r="G42" s="857"/>
      <c r="H42" s="113"/>
      <c r="I42" s="857"/>
      <c r="J42" s="113"/>
      <c r="K42" s="857"/>
      <c r="L42" s="113"/>
      <c r="M42" s="857"/>
      <c r="N42" s="113"/>
      <c r="O42" s="857"/>
      <c r="P42" s="113"/>
      <c r="Q42" s="857"/>
      <c r="R42" s="113"/>
      <c r="S42" s="857"/>
      <c r="T42" s="113">
        <f t="shared" si="5"/>
        <v>2.8250000000000001E-2</v>
      </c>
      <c r="U42" s="857"/>
      <c r="V42" s="113">
        <f t="shared" si="6"/>
        <v>2.8250000000000001E-2</v>
      </c>
      <c r="W42" s="857"/>
      <c r="X42" s="113">
        <f t="shared" si="7"/>
        <v>2.8250000000000001E-2</v>
      </c>
      <c r="Y42" s="857"/>
      <c r="Z42" s="113">
        <f t="shared" si="8"/>
        <v>3.0000000000000001E-3</v>
      </c>
      <c r="AA42" s="857"/>
      <c r="AB42" s="113">
        <f t="shared" si="9"/>
        <v>8.0000000000000002E-3</v>
      </c>
      <c r="AC42" s="857"/>
      <c r="AD42" s="113">
        <f t="shared" si="10"/>
        <v>4.0000000000000001E-3</v>
      </c>
      <c r="AE42" s="857"/>
      <c r="AF42" s="113">
        <f t="shared" si="19"/>
        <v>169.10459118965079</v>
      </c>
      <c r="AG42" s="857"/>
      <c r="AH42" s="113">
        <f t="shared" si="16"/>
        <v>169.10459118965079</v>
      </c>
      <c r="AI42" s="857"/>
      <c r="AJ42" s="113">
        <f t="shared" si="17"/>
        <v>169.10459118965079</v>
      </c>
      <c r="AK42" s="857"/>
      <c r="AL42" s="113">
        <f t="shared" si="11"/>
        <v>0</v>
      </c>
      <c r="AM42" s="857"/>
      <c r="AN42" s="113">
        <f t="shared" si="18"/>
        <v>169.10459118965079</v>
      </c>
      <c r="AO42" s="857"/>
      <c r="AP42" s="113">
        <f t="shared" si="12"/>
        <v>0</v>
      </c>
      <c r="AQ42" s="857"/>
      <c r="AR42" s="113">
        <f t="shared" si="13"/>
        <v>1.3</v>
      </c>
      <c r="AS42" s="857"/>
      <c r="AT42" s="113">
        <f t="shared" si="14"/>
        <v>1.0113910956318826E-2</v>
      </c>
      <c r="AU42" s="859"/>
      <c r="BA42" s="854">
        <v>2059</v>
      </c>
      <c r="BB42" s="855">
        <f>IF(ISBLANK(Tb_Fuel38[[#This Row],[Override]]),Tb_Fuel38[[#This Row],[Germany - Grid]],Tb_Fuel38[[#This Row],[Override]])</f>
        <v>0.107</v>
      </c>
      <c r="BC42" s="855">
        <f>IF(ISBLANK(Tb_Fuel38[[#This Row],[Override2]]),Tb_Fuel38[[#This Row],[France - Grid]],Tb_Fuel38[[#This Row],[Override2]])</f>
        <v>9.5000000000000001E-2</v>
      </c>
      <c r="BD42" s="855">
        <f>IF(ISBLANK(Tb_Fuel38[[#This Row],[Override3]]),Tb_Fuel38[[#This Row],[Spain - Grid]],Tb_Fuel38[[#This Row],[Override3]])</f>
        <v>0.11</v>
      </c>
      <c r="BE42" s="855">
        <f>IF(ISBLANK(Tb_Fuel38[[#This Row],[Override18]]),Tb_Fuel38[[#This Row],[Germany - Feed-in electricity price]],Tb_Fuel38[[#This Row],[Override18]])</f>
        <v>0</v>
      </c>
      <c r="BF42" s="855">
        <f>IF(ISBLANK(Tb_Fuel38[[#This Row],[Override220]]),Tb_Fuel38[[#This Row],[France - Feed-in electricity price]],Tb_Fuel38[[#This Row],[Override220]])</f>
        <v>0</v>
      </c>
      <c r="BG42" s="855">
        <f>IF(ISBLANK(Tb_Fuel38[[#This Row],[Override322]]),Tb_Fuel38[[#This Row],[Spain - Feed-in electricity price]],Tb_Fuel38[[#This Row],[Override322]])</f>
        <v>0</v>
      </c>
      <c r="BH42" s="855">
        <f>IF(ISBLANK(Tb_Fuel38[[#This Row],[Override183]]),Tb_Fuel38[[#This Row],[Norway - Feed-in electricity price]],Tb_Fuel38[[#This Row],[Override183]])</f>
        <v>0</v>
      </c>
      <c r="BI42" s="855">
        <f>IF(ISBLANK(Tb_Fuel38[[#This Row],[Override2205]]),Tb_Fuel38[[#This Row],[Qatar - Feed-in electricity price]],Tb_Fuel38[[#This Row],[Override2205]])</f>
        <v>0</v>
      </c>
      <c r="BJ42" s="855">
        <f>IF(ISBLANK(Tb_Fuel38[[#This Row],[Override3227]]),Tb_Fuel38[[#This Row],[Algeria - Feed-in electricity price]],Tb_Fuel38[[#This Row],[Override3227]])</f>
        <v>0</v>
      </c>
      <c r="BK42" s="855">
        <f>IF(ISBLANK(Tb_Fuel38[[#This Row],[Override4]]),Tb_Fuel38[[#This Row],[Germany - Gas]],Tb_Fuel38[[#This Row],[Override4]])</f>
        <v>2.8250000000000001E-2</v>
      </c>
      <c r="BL42" s="855">
        <f>IF(ISBLANK(Tb_Fuel38[[#This Row],[Override5]]),Tb_Fuel38[[#This Row],[France - Gas]],Tb_Fuel38[[#This Row],[Override5]])</f>
        <v>2.8250000000000001E-2</v>
      </c>
      <c r="BM42" s="855">
        <f>IF(ISBLANK(Tb_Fuel38[[#This Row],[Override6]]),Tb_Fuel38[[#This Row],[Spain - Gas]],Tb_Fuel38[[#This Row],[Override6]])</f>
        <v>2.8250000000000001E-2</v>
      </c>
      <c r="BN42" s="855">
        <f>IF(ISBLANK(Tb_Fuel38[[#This Row],[Override7]]),Tb_Fuel38[[#This Row],[Algeria - Gas]],Tb_Fuel38[[#This Row],[Override7]])</f>
        <v>3.0000000000000001E-3</v>
      </c>
      <c r="BO42" s="855">
        <f>IF(ISBLANK(Tb_Fuel38[[#This Row],[Override8]]),Tb_Fuel38[[#This Row],[Norway - Gas]],Tb_Fuel38[[#This Row],[Override8]])</f>
        <v>8.0000000000000002E-3</v>
      </c>
      <c r="BP42" s="855">
        <f>IF(ISBLANK(Tb_Fuel38[[#This Row],[Override9]]),Tb_Fuel38[[#This Row],[Qatar - Gas]],Tb_Fuel38[[#This Row],[Override9]])</f>
        <v>4.0000000000000001E-3</v>
      </c>
      <c r="BQ42" s="855">
        <f>IF(ISBLANK(Tb_Fuel38[[#This Row],[Override10]]),Tb_Fuel38[[#This Row],[Germany - CO2 Price]],Tb_Fuel38[[#This Row],[Override10]])</f>
        <v>169.10459118965079</v>
      </c>
      <c r="BR42" s="855">
        <f>IF(ISBLANK(Tb_Fuel38[[#This Row],[Override11]]),Tb_Fuel38[[#This Row],[France - CO2 Price]],Tb_Fuel38[[#This Row],[Override11]])</f>
        <v>169.10459118965079</v>
      </c>
      <c r="BS42" s="855">
        <f>IF(ISBLANK(Tb_Fuel38[[#This Row],[Override12]]),Tb_Fuel38[[#This Row],[Spain - CO2 Price]],Tb_Fuel38[[#This Row],[Override12]])</f>
        <v>169.10459118965079</v>
      </c>
      <c r="BT42" s="855">
        <f>IF(ISBLANK(Tb_Fuel38[[#This Row],[Override13]]),Tb_Fuel38[[#This Row],[Algeria - CO2 Price]],Tb_Fuel38[[#This Row],[Override13]])</f>
        <v>0</v>
      </c>
      <c r="BU42" s="855">
        <f>IF(ISBLANK(Tb_Fuel38[[#This Row],[Override14]]),Tb_Fuel38[[#This Row],[Norway - CO2 Price]],Tb_Fuel38[[#This Row],[Override14]])</f>
        <v>169.10459118965079</v>
      </c>
      <c r="BV42" s="855">
        <f>IF(ISBLANK(Tb_Fuel38[[#This Row],[Override15]]),Tb_Fuel38[[#This Row],[Qatar - CO2 Price]],Tb_Fuel38[[#This Row],[Override15]])</f>
        <v>0</v>
      </c>
      <c r="BW42" s="855">
        <f>IF(ISBLANK(Tb_Fuel38[[#This Row],[Override16]]),Tb_Fuel38[[#This Row],[Global - Diesel]],Tb_Fuel38[[#This Row],[Override16]])</f>
        <v>1.3</v>
      </c>
      <c r="BX42" s="855">
        <f>IF(ISBLANK(Tb_Fuel38[[#This Row],[Override17]]),Tb_Fuel38[[#This Row],[Global - HFO]],Tb_Fuel38[[#This Row],[Override17]])</f>
        <v>1.0113910956318826E-2</v>
      </c>
    </row>
    <row r="43" spans="1:76">
      <c r="A43" s="112">
        <v>2060</v>
      </c>
      <c r="B43" s="113">
        <f t="shared" si="3"/>
        <v>0.107</v>
      </c>
      <c r="C43" s="858"/>
      <c r="D43" s="113">
        <f t="shared" si="4"/>
        <v>9.5000000000000001E-2</v>
      </c>
      <c r="E43" s="858"/>
      <c r="F43" s="113">
        <f t="shared" si="15"/>
        <v>0.11</v>
      </c>
      <c r="G43" s="858"/>
      <c r="H43" s="113"/>
      <c r="I43" s="858"/>
      <c r="J43" s="113"/>
      <c r="K43" s="858"/>
      <c r="L43" s="113"/>
      <c r="M43" s="858"/>
      <c r="N43" s="113"/>
      <c r="O43" s="858"/>
      <c r="P43" s="113"/>
      <c r="Q43" s="858"/>
      <c r="R43" s="113"/>
      <c r="S43" s="858"/>
      <c r="T43" s="113">
        <f t="shared" si="5"/>
        <v>2.8250000000000001E-2</v>
      </c>
      <c r="U43" s="858"/>
      <c r="V43" s="113">
        <f t="shared" si="6"/>
        <v>2.8250000000000001E-2</v>
      </c>
      <c r="W43" s="858"/>
      <c r="X43" s="113">
        <f t="shared" si="7"/>
        <v>2.8250000000000001E-2</v>
      </c>
      <c r="Y43" s="858"/>
      <c r="Z43" s="113">
        <f t="shared" si="8"/>
        <v>3.0000000000000001E-3</v>
      </c>
      <c r="AA43" s="858"/>
      <c r="AB43" s="113">
        <f t="shared" si="9"/>
        <v>8.0000000000000002E-3</v>
      </c>
      <c r="AC43" s="858"/>
      <c r="AD43" s="113">
        <f t="shared" si="10"/>
        <v>4.0000000000000001E-3</v>
      </c>
      <c r="AE43" s="858"/>
      <c r="AF43" s="113">
        <f t="shared" si="19"/>
        <v>169.10459118965079</v>
      </c>
      <c r="AG43" s="858"/>
      <c r="AH43" s="113">
        <f t="shared" si="16"/>
        <v>169.10459118965079</v>
      </c>
      <c r="AI43" s="858"/>
      <c r="AJ43" s="113">
        <f t="shared" si="17"/>
        <v>169.10459118965079</v>
      </c>
      <c r="AK43" s="858"/>
      <c r="AL43" s="113">
        <f t="shared" si="11"/>
        <v>0</v>
      </c>
      <c r="AM43" s="858"/>
      <c r="AN43" s="113">
        <f t="shared" si="18"/>
        <v>169.10459118965079</v>
      </c>
      <c r="AO43" s="858"/>
      <c r="AP43" s="113">
        <f t="shared" si="12"/>
        <v>0</v>
      </c>
      <c r="AQ43" s="858"/>
      <c r="AR43" s="113">
        <f t="shared" si="13"/>
        <v>1.3</v>
      </c>
      <c r="AS43" s="858"/>
      <c r="AT43" s="113">
        <f t="shared" si="14"/>
        <v>1.0113910956318826E-2</v>
      </c>
      <c r="AU43" s="860"/>
      <c r="BA43" s="856">
        <v>2060</v>
      </c>
      <c r="BB43" s="855">
        <f>IF(ISBLANK(Tb_Fuel38[[#This Row],[Override]]),Tb_Fuel38[[#This Row],[Germany - Grid]],Tb_Fuel38[[#This Row],[Override]])</f>
        <v>0.107</v>
      </c>
      <c r="BC43" s="855">
        <f>IF(ISBLANK(Tb_Fuel38[[#This Row],[Override2]]),Tb_Fuel38[[#This Row],[France - Grid]],Tb_Fuel38[[#This Row],[Override2]])</f>
        <v>9.5000000000000001E-2</v>
      </c>
      <c r="BD43" s="855">
        <f>IF(ISBLANK(Tb_Fuel38[[#This Row],[Override3]]),Tb_Fuel38[[#This Row],[Spain - Grid]],Tb_Fuel38[[#This Row],[Override3]])</f>
        <v>0.11</v>
      </c>
      <c r="BE43" s="855">
        <f>IF(ISBLANK(Tb_Fuel38[[#This Row],[Override18]]),Tb_Fuel38[[#This Row],[Germany - Feed-in electricity price]],Tb_Fuel38[[#This Row],[Override18]])</f>
        <v>0</v>
      </c>
      <c r="BF43" s="855">
        <f>IF(ISBLANK(Tb_Fuel38[[#This Row],[Override220]]),Tb_Fuel38[[#This Row],[France - Feed-in electricity price]],Tb_Fuel38[[#This Row],[Override220]])</f>
        <v>0</v>
      </c>
      <c r="BG43" s="855">
        <f>IF(ISBLANK(Tb_Fuel38[[#This Row],[Override322]]),Tb_Fuel38[[#This Row],[Spain - Feed-in electricity price]],Tb_Fuel38[[#This Row],[Override322]])</f>
        <v>0</v>
      </c>
      <c r="BH43" s="855">
        <f>IF(ISBLANK(Tb_Fuel38[[#This Row],[Override183]]),Tb_Fuel38[[#This Row],[Norway - Feed-in electricity price]],Tb_Fuel38[[#This Row],[Override183]])</f>
        <v>0</v>
      </c>
      <c r="BI43" s="855">
        <f>IF(ISBLANK(Tb_Fuel38[[#This Row],[Override2205]]),Tb_Fuel38[[#This Row],[Qatar - Feed-in electricity price]],Tb_Fuel38[[#This Row],[Override2205]])</f>
        <v>0</v>
      </c>
      <c r="BJ43" s="855">
        <f>IF(ISBLANK(Tb_Fuel38[[#This Row],[Override3227]]),Tb_Fuel38[[#This Row],[Algeria - Feed-in electricity price]],Tb_Fuel38[[#This Row],[Override3227]])</f>
        <v>0</v>
      </c>
      <c r="BK43" s="855">
        <f>IF(ISBLANK(Tb_Fuel38[[#This Row],[Override4]]),Tb_Fuel38[[#This Row],[Germany - Gas]],Tb_Fuel38[[#This Row],[Override4]])</f>
        <v>2.8250000000000001E-2</v>
      </c>
      <c r="BL43" s="855">
        <f>IF(ISBLANK(Tb_Fuel38[[#This Row],[Override5]]),Tb_Fuel38[[#This Row],[France - Gas]],Tb_Fuel38[[#This Row],[Override5]])</f>
        <v>2.8250000000000001E-2</v>
      </c>
      <c r="BM43" s="855">
        <f>IF(ISBLANK(Tb_Fuel38[[#This Row],[Override6]]),Tb_Fuel38[[#This Row],[Spain - Gas]],Tb_Fuel38[[#This Row],[Override6]])</f>
        <v>2.8250000000000001E-2</v>
      </c>
      <c r="BN43" s="855">
        <f>IF(ISBLANK(Tb_Fuel38[[#This Row],[Override7]]),Tb_Fuel38[[#This Row],[Algeria - Gas]],Tb_Fuel38[[#This Row],[Override7]])</f>
        <v>3.0000000000000001E-3</v>
      </c>
      <c r="BO43" s="855">
        <f>IF(ISBLANK(Tb_Fuel38[[#This Row],[Override8]]),Tb_Fuel38[[#This Row],[Norway - Gas]],Tb_Fuel38[[#This Row],[Override8]])</f>
        <v>8.0000000000000002E-3</v>
      </c>
      <c r="BP43" s="855">
        <f>IF(ISBLANK(Tb_Fuel38[[#This Row],[Override9]]),Tb_Fuel38[[#This Row],[Qatar - Gas]],Tb_Fuel38[[#This Row],[Override9]])</f>
        <v>4.0000000000000001E-3</v>
      </c>
      <c r="BQ43" s="855">
        <f>IF(ISBLANK(Tb_Fuel38[[#This Row],[Override10]]),Tb_Fuel38[[#This Row],[Germany - CO2 Price]],Tb_Fuel38[[#This Row],[Override10]])</f>
        <v>169.10459118965079</v>
      </c>
      <c r="BR43" s="855">
        <f>IF(ISBLANK(Tb_Fuel38[[#This Row],[Override11]]),Tb_Fuel38[[#This Row],[France - CO2 Price]],Tb_Fuel38[[#This Row],[Override11]])</f>
        <v>169.10459118965079</v>
      </c>
      <c r="BS43" s="855">
        <f>IF(ISBLANK(Tb_Fuel38[[#This Row],[Override12]]),Tb_Fuel38[[#This Row],[Spain - CO2 Price]],Tb_Fuel38[[#This Row],[Override12]])</f>
        <v>169.10459118965079</v>
      </c>
      <c r="BT43" s="855">
        <f>IF(ISBLANK(Tb_Fuel38[[#This Row],[Override13]]),Tb_Fuel38[[#This Row],[Algeria - CO2 Price]],Tb_Fuel38[[#This Row],[Override13]])</f>
        <v>0</v>
      </c>
      <c r="BU43" s="855">
        <f>IF(ISBLANK(Tb_Fuel38[[#This Row],[Override14]]),Tb_Fuel38[[#This Row],[Norway - CO2 Price]],Tb_Fuel38[[#This Row],[Override14]])</f>
        <v>169.10459118965079</v>
      </c>
      <c r="BV43" s="855">
        <f>IF(ISBLANK(Tb_Fuel38[[#This Row],[Override15]]),Tb_Fuel38[[#This Row],[Qatar - CO2 Price]],Tb_Fuel38[[#This Row],[Override15]])</f>
        <v>0</v>
      </c>
      <c r="BW43" s="855">
        <f>IF(ISBLANK(Tb_Fuel38[[#This Row],[Override16]]),Tb_Fuel38[[#This Row],[Global - Diesel]],Tb_Fuel38[[#This Row],[Override16]])</f>
        <v>1.3</v>
      </c>
      <c r="BX43" s="855">
        <f>IF(ISBLANK(Tb_Fuel38[[#This Row],[Override17]]),Tb_Fuel38[[#This Row],[Global - HFO]],Tb_Fuel38[[#This Row],[Override17]])</f>
        <v>1.0113910956318826E-2</v>
      </c>
    </row>
    <row r="44" spans="1:76">
      <c r="AE44" s="391"/>
      <c r="BA44" s="280"/>
      <c r="BB44" s="280"/>
      <c r="BC44" s="280"/>
      <c r="BD44" s="280"/>
      <c r="BE44" s="280"/>
      <c r="BF44" s="280"/>
      <c r="BG44" s="280"/>
      <c r="BH44" s="280"/>
      <c r="BI44" s="280"/>
      <c r="BJ44" s="280"/>
      <c r="BK44" s="280"/>
      <c r="BL44" s="280"/>
      <c r="BM44" s="280"/>
      <c r="BN44" s="280"/>
      <c r="BO44" s="280"/>
      <c r="BP44" s="280"/>
      <c r="BQ44" s="280"/>
      <c r="BR44" s="280"/>
      <c r="BS44" s="280"/>
      <c r="BT44" s="280"/>
      <c r="BU44" s="280"/>
      <c r="BV44" s="280"/>
      <c r="BW44" s="280"/>
      <c r="BX44" s="280"/>
    </row>
  </sheetData>
  <sheetProtection algorithmName="SHA-512" hashValue="S22A8h4X2Avk+4t0JtBRy6cW95yThnRD8e5SMzKrKnH1k9TayXIt75rHfhAhkBE3XP5O7eo3ioOdYQJtPI5GMg==" saltValue="cFGzIMkLAaR/YU36WMYXvQ==" spinCount="100000" sheet="1" objects="1" scenarios="1"/>
  <mergeCells count="23">
    <mergeCell ref="B2:C2"/>
    <mergeCell ref="D2:E2"/>
    <mergeCell ref="F2:G2"/>
    <mergeCell ref="T2:U2"/>
    <mergeCell ref="V2:W2"/>
    <mergeCell ref="H2:I2"/>
    <mergeCell ref="J2:K2"/>
    <mergeCell ref="L2:M2"/>
    <mergeCell ref="N2:O2"/>
    <mergeCell ref="P2:Q2"/>
    <mergeCell ref="R2:S2"/>
    <mergeCell ref="X2:Y2"/>
    <mergeCell ref="Z2:AA2"/>
    <mergeCell ref="AB2:AC2"/>
    <mergeCell ref="AD2:AE2"/>
    <mergeCell ref="AF2:AG2"/>
    <mergeCell ref="AR2:AS2"/>
    <mergeCell ref="AT2:AU2"/>
    <mergeCell ref="AH2:AI2"/>
    <mergeCell ref="AJ2:AK2"/>
    <mergeCell ref="AL2:AM2"/>
    <mergeCell ref="AN2:AO2"/>
    <mergeCell ref="AP2:AQ2"/>
  </mergeCells>
  <phoneticPr fontId="11" type="noConversion"/>
  <hyperlinks>
    <hyperlink ref="AR1" r:id="rId1" location="price-developments" xr:uid="{03DA728C-C322-C746-8665-B6A8C30B47FE}"/>
    <hyperlink ref="AT1" r:id="rId2" location="VLSFO" xr:uid="{E902CDD0-FF41-1C40-9794-CC5D33D90EA9}"/>
    <hyperlink ref="AF1" r:id="rId3" xr:uid="{55EC3732-2774-45F8-84A8-B5EB8D6B43A7}"/>
    <hyperlink ref="AH1" r:id="rId4" xr:uid="{6431FB28-08F5-4D34-8924-697361040DF6}"/>
    <hyperlink ref="AJ1" r:id="rId5" xr:uid="{64EFEFAA-28E7-403F-A871-7920ECE43931}"/>
    <hyperlink ref="AN1" r:id="rId6" xr:uid="{C078E9CA-7436-45A3-9776-4AFBFE4BF042}"/>
  </hyperlinks>
  <pageMargins left="0.7" right="0.7" top="0.75" bottom="0.75" header="0.3" footer="0.3"/>
  <pageSetup paperSize="9" orientation="portrait" verticalDpi="0" r:id="rId7"/>
  <tableParts count="2">
    <tablePart r:id="rId8"/>
    <tablePart r:id="rId9"/>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4AFD-03D1-5C40-B48E-3C36D88CC476}">
  <dimension ref="A1:J12"/>
  <sheetViews>
    <sheetView zoomScaleNormal="100" workbookViewId="0">
      <selection activeCell="P18" sqref="P18"/>
    </sheetView>
  </sheetViews>
  <sheetFormatPr baseColWidth="10" defaultColWidth="8.83203125" defaultRowHeight="16"/>
  <cols>
    <col min="1" max="16384" width="8.83203125" style="2"/>
  </cols>
  <sheetData>
    <row r="1" spans="1:10">
      <c r="A1" s="1326" t="s">
        <v>135</v>
      </c>
      <c r="B1" s="1327"/>
      <c r="C1" s="1327"/>
      <c r="D1" s="1327"/>
      <c r="E1" s="1327"/>
      <c r="F1" s="1327"/>
      <c r="G1" s="1327"/>
      <c r="H1" s="1327"/>
      <c r="I1" s="1327"/>
      <c r="J1" s="1328"/>
    </row>
    <row r="2" spans="1:10">
      <c r="A2" s="312"/>
      <c r="B2" s="280"/>
      <c r="C2" s="280"/>
      <c r="D2" s="280"/>
      <c r="E2" s="280"/>
      <c r="F2" s="280"/>
      <c r="G2" s="280"/>
      <c r="H2" s="280"/>
      <c r="I2" s="280"/>
      <c r="J2" s="861"/>
    </row>
    <row r="3" spans="1:10">
      <c r="A3" s="1329" t="s">
        <v>136</v>
      </c>
      <c r="B3" s="1330"/>
      <c r="C3" s="1330"/>
      <c r="D3" s="1330"/>
      <c r="E3" s="1330"/>
      <c r="F3" s="1330"/>
      <c r="G3" s="1330"/>
      <c r="H3" s="1330"/>
      <c r="I3" s="1330"/>
      <c r="J3" s="1331"/>
    </row>
    <row r="4" spans="1:10">
      <c r="A4" s="862"/>
      <c r="B4" s="347"/>
      <c r="C4" s="347"/>
      <c r="D4" s="347"/>
      <c r="E4" s="347"/>
      <c r="F4" s="347"/>
      <c r="G4" s="347"/>
      <c r="H4" s="347"/>
      <c r="I4" s="347"/>
      <c r="J4" s="863"/>
    </row>
    <row r="5" spans="1:10">
      <c r="A5" s="1332" t="s">
        <v>137</v>
      </c>
      <c r="B5" s="1333"/>
      <c r="C5" s="1333"/>
      <c r="D5" s="1333"/>
      <c r="E5" s="1333"/>
      <c r="F5" s="1333"/>
      <c r="G5" s="1333"/>
      <c r="H5" s="1333"/>
      <c r="I5" s="1333"/>
      <c r="J5" s="1334"/>
    </row>
    <row r="6" spans="1:10">
      <c r="A6" s="1335" t="s">
        <v>138</v>
      </c>
      <c r="B6" s="1336"/>
      <c r="C6" s="1336"/>
      <c r="D6" s="1336"/>
      <c r="E6" s="1336"/>
      <c r="F6" s="1336"/>
      <c r="G6" s="1336"/>
      <c r="H6" s="1336"/>
      <c r="I6" s="1336"/>
      <c r="J6" s="1337"/>
    </row>
    <row r="7" spans="1:10">
      <c r="A7" s="159"/>
      <c r="B7" s="171"/>
      <c r="C7" s="171"/>
      <c r="D7" s="171"/>
      <c r="E7" s="171"/>
      <c r="F7" s="171"/>
      <c r="G7" s="171"/>
      <c r="H7" s="171"/>
      <c r="I7" s="171"/>
      <c r="J7" s="160"/>
    </row>
    <row r="8" spans="1:10">
      <c r="A8" s="1338" t="s">
        <v>139</v>
      </c>
      <c r="B8" s="1339"/>
      <c r="C8" s="1339"/>
      <c r="D8" s="1339"/>
      <c r="E8" s="1339"/>
      <c r="F8" s="1339"/>
      <c r="G8" s="1339"/>
      <c r="H8" s="1339"/>
      <c r="I8" s="1339"/>
      <c r="J8" s="1340"/>
    </row>
    <row r="9" spans="1:10">
      <c r="A9" s="1341" t="s">
        <v>140</v>
      </c>
      <c r="B9" s="1342"/>
      <c r="C9" s="1342"/>
      <c r="D9" s="1342"/>
      <c r="E9" s="1342"/>
      <c r="F9" s="1342"/>
      <c r="G9" s="1342"/>
      <c r="H9" s="1342"/>
      <c r="I9" s="1342"/>
      <c r="J9" s="1343"/>
    </row>
    <row r="10" spans="1:10">
      <c r="A10" s="1320" t="s">
        <v>141</v>
      </c>
      <c r="B10" s="1321"/>
      <c r="C10" s="1321"/>
      <c r="D10" s="1321"/>
      <c r="E10" s="1321"/>
      <c r="F10" s="1321"/>
      <c r="G10" s="1321"/>
      <c r="H10" s="1321"/>
      <c r="I10" s="1321"/>
      <c r="J10" s="1322"/>
    </row>
    <row r="11" spans="1:10" ht="17" thickBot="1">
      <c r="A11" s="1323" t="s">
        <v>142</v>
      </c>
      <c r="B11" s="1324"/>
      <c r="C11" s="1324"/>
      <c r="D11" s="1324"/>
      <c r="E11" s="1324"/>
      <c r="F11" s="1324"/>
      <c r="G11" s="1324"/>
      <c r="H11" s="1324"/>
      <c r="I11" s="1324"/>
      <c r="J11" s="1325"/>
    </row>
    <row r="12" spans="1:10">
      <c r="A12" s="280"/>
      <c r="B12" s="280"/>
      <c r="C12" s="280"/>
      <c r="D12" s="280"/>
      <c r="E12" s="280"/>
      <c r="F12" s="280"/>
      <c r="G12" s="280"/>
      <c r="H12" s="280"/>
      <c r="I12" s="280"/>
      <c r="J12" s="280"/>
    </row>
  </sheetData>
  <sheetProtection algorithmName="SHA-512" hashValue="doU+iPpGiixlYYyWGyV7U39+TYqub0htu+1N5dBZt9sGQp5Gjcvbb5fneX9KrGyRGC7jFkiKqAM/HGS2luEgKw==" saltValue="lSxY6jMJCJt/I909CquP7w==" spinCount="100000" sheet="1" objects="1" scenarios="1"/>
  <mergeCells count="8">
    <mergeCell ref="A10:J10"/>
    <mergeCell ref="A11:J11"/>
    <mergeCell ref="A1:J1"/>
    <mergeCell ref="A3:J3"/>
    <mergeCell ref="A5:J5"/>
    <mergeCell ref="A6:J6"/>
    <mergeCell ref="A8:J8"/>
    <mergeCell ref="A9:J9"/>
  </mergeCells>
  <hyperlinks>
    <hyperlink ref="A6" r:id="rId1" location="what-is-coolprop" xr:uid="{9EE6E035-0634-D04C-AA68-E33E126C638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A7A-9A15-1F46-A710-474B5EEEB314}">
  <dimension ref="A1:U48"/>
  <sheetViews>
    <sheetView topLeftCell="C1" zoomScale="74" zoomScaleNormal="60" workbookViewId="0">
      <selection activeCell="B20" sqref="B20"/>
    </sheetView>
  </sheetViews>
  <sheetFormatPr baseColWidth="10" defaultColWidth="10.5" defaultRowHeight="16"/>
  <cols>
    <col min="1" max="1" width="23.5" style="280" customWidth="1"/>
    <col min="2" max="2" width="10.5" style="280"/>
    <col min="3" max="3" width="13" style="280" bestFit="1" customWidth="1"/>
    <col min="4" max="4" width="28.83203125" style="280" bestFit="1" customWidth="1"/>
    <col min="5" max="11" width="10.5" style="280"/>
    <col min="12" max="12" width="26.5" style="280" customWidth="1"/>
    <col min="13" max="13" width="10.5" style="280" customWidth="1"/>
    <col min="14" max="16384" width="10.5" style="280"/>
  </cols>
  <sheetData>
    <row r="1" spans="1:21">
      <c r="A1" s="868" t="s">
        <v>1189</v>
      </c>
      <c r="B1" s="869"/>
      <c r="C1" s="869"/>
      <c r="D1" s="870"/>
      <c r="E1" s="553"/>
      <c r="K1" s="864" t="s">
        <v>1190</v>
      </c>
      <c r="L1" s="541"/>
      <c r="M1" s="540">
        <v>2001</v>
      </c>
      <c r="N1" s="865">
        <v>0.72035628131378737</v>
      </c>
    </row>
    <row r="2" spans="1:21">
      <c r="A2" s="632"/>
      <c r="B2" s="633"/>
      <c r="C2" s="633"/>
      <c r="D2" s="871"/>
      <c r="E2" s="553"/>
      <c r="K2" s="545" t="s">
        <v>530</v>
      </c>
      <c r="L2" s="546" t="s">
        <v>1191</v>
      </c>
      <c r="M2" s="527">
        <v>2002</v>
      </c>
      <c r="N2" s="866">
        <v>0.73668584152904071</v>
      </c>
      <c r="Q2" s="872" t="s">
        <v>1192</v>
      </c>
      <c r="R2" s="823" t="s">
        <v>1193</v>
      </c>
      <c r="S2" s="541"/>
      <c r="T2" s="541"/>
      <c r="U2" s="842"/>
    </row>
    <row r="3" spans="1:21">
      <c r="A3" s="632" t="s">
        <v>1194</v>
      </c>
      <c r="B3" s="633" t="s">
        <v>1195</v>
      </c>
      <c r="C3" s="873">
        <v>33.33</v>
      </c>
      <c r="D3" s="871" t="s">
        <v>1196</v>
      </c>
      <c r="E3" s="553" t="s">
        <v>280</v>
      </c>
      <c r="M3" s="527">
        <v>2003</v>
      </c>
      <c r="N3" s="866">
        <v>0.75227314900723696</v>
      </c>
      <c r="Q3" s="527"/>
      <c r="R3" s="364"/>
      <c r="S3" s="364"/>
      <c r="T3" s="364"/>
      <c r="U3" s="692"/>
    </row>
    <row r="4" spans="1:21">
      <c r="A4" s="632" t="s">
        <v>1197</v>
      </c>
      <c r="B4" s="633" t="s">
        <v>1198</v>
      </c>
      <c r="C4" s="633">
        <v>8760</v>
      </c>
      <c r="D4" s="871" t="s">
        <v>772</v>
      </c>
      <c r="E4" s="553"/>
      <c r="M4" s="527">
        <v>2004</v>
      </c>
      <c r="N4" s="866">
        <v>0.7686954908146223</v>
      </c>
      <c r="Q4" s="527"/>
      <c r="R4" s="364"/>
      <c r="S4" s="364"/>
      <c r="T4" s="364"/>
      <c r="U4" s="692"/>
    </row>
    <row r="5" spans="1:21">
      <c r="A5" s="632"/>
      <c r="B5" s="633"/>
      <c r="C5" s="633"/>
      <c r="D5" s="871"/>
      <c r="E5" s="553"/>
      <c r="M5" s="527">
        <v>2005</v>
      </c>
      <c r="N5" s="866">
        <v>0.78558174058266839</v>
      </c>
      <c r="Q5" s="874">
        <v>1</v>
      </c>
      <c r="R5" s="364" t="s">
        <v>1199</v>
      </c>
      <c r="S5" s="364" t="s">
        <v>1200</v>
      </c>
      <c r="T5" s="875">
        <f>Q5/N1</f>
        <v>1.3882019577537352</v>
      </c>
      <c r="U5" s="692"/>
    </row>
    <row r="6" spans="1:21">
      <c r="A6" s="632"/>
      <c r="B6" s="633"/>
      <c r="C6" s="633"/>
      <c r="D6" s="871"/>
      <c r="E6" s="553"/>
      <c r="M6" s="527">
        <v>2006</v>
      </c>
      <c r="N6" s="866">
        <v>0.80283911671924291</v>
      </c>
      <c r="Q6" s="527"/>
      <c r="R6" s="364"/>
      <c r="S6" s="364"/>
      <c r="T6" s="364"/>
      <c r="U6" s="692"/>
    </row>
    <row r="7" spans="1:21">
      <c r="A7" s="1349" t="s">
        <v>1201</v>
      </c>
      <c r="B7" s="633" t="s">
        <v>1202</v>
      </c>
      <c r="C7" s="873">
        <v>33.33</v>
      </c>
      <c r="D7" s="871"/>
      <c r="E7" s="553"/>
      <c r="M7" s="527">
        <v>2007</v>
      </c>
      <c r="N7" s="866">
        <v>0.82028205604008164</v>
      </c>
      <c r="Q7" s="527" t="s">
        <v>1203</v>
      </c>
      <c r="R7" s="364"/>
      <c r="S7" s="364"/>
      <c r="T7" s="364"/>
      <c r="U7" s="692"/>
    </row>
    <row r="8" spans="1:21">
      <c r="A8" s="1349"/>
      <c r="B8" s="633" t="s">
        <v>1204</v>
      </c>
      <c r="C8" s="873">
        <v>39.4</v>
      </c>
      <c r="D8" s="871"/>
      <c r="E8" s="553"/>
      <c r="M8" s="527">
        <v>2008</v>
      </c>
      <c r="N8" s="866">
        <v>0.84774540731118952</v>
      </c>
      <c r="Q8" s="527"/>
      <c r="R8" s="364"/>
      <c r="S8" s="364"/>
      <c r="T8" s="364"/>
      <c r="U8" s="692"/>
    </row>
    <row r="9" spans="1:21">
      <c r="A9" s="1349"/>
      <c r="B9" s="633" t="s">
        <v>1205</v>
      </c>
      <c r="C9" s="873">
        <v>120</v>
      </c>
      <c r="D9" s="871"/>
      <c r="E9" s="553"/>
      <c r="M9" s="527">
        <v>2009</v>
      </c>
      <c r="N9" s="866">
        <v>0.85034329189088886</v>
      </c>
      <c r="Q9" s="545" t="s">
        <v>1206</v>
      </c>
      <c r="R9" s="876">
        <v>1.7825000000000001E-2</v>
      </c>
      <c r="S9" s="546"/>
      <c r="T9" s="546"/>
      <c r="U9" s="837"/>
    </row>
    <row r="10" spans="1:21">
      <c r="A10" s="1349"/>
      <c r="B10" s="633" t="s">
        <v>1207</v>
      </c>
      <c r="C10" s="873">
        <v>141.69999999999999</v>
      </c>
      <c r="D10" s="871"/>
      <c r="E10" s="553"/>
      <c r="M10" s="527">
        <v>2010</v>
      </c>
      <c r="N10" s="866">
        <v>0.86407496752644275</v>
      </c>
    </row>
    <row r="11" spans="1:21">
      <c r="A11" s="1350"/>
      <c r="B11" s="877" t="s">
        <v>1208</v>
      </c>
      <c r="C11" s="878">
        <v>11.11</v>
      </c>
      <c r="D11" s="879"/>
      <c r="E11" s="553"/>
      <c r="M11" s="527">
        <v>2011</v>
      </c>
      <c r="N11" s="866">
        <v>0.88764149192800146</v>
      </c>
    </row>
    <row r="12" spans="1:21">
      <c r="A12" s="553"/>
      <c r="B12" s="553"/>
      <c r="C12" s="553"/>
      <c r="D12" s="553"/>
      <c r="E12" s="553"/>
      <c r="M12" s="527">
        <v>2012</v>
      </c>
      <c r="N12" s="866">
        <v>0.90981629244757845</v>
      </c>
    </row>
    <row r="13" spans="1:21" ht="17" thickBot="1">
      <c r="A13" s="553"/>
      <c r="B13" s="553"/>
      <c r="C13" s="553"/>
      <c r="D13" s="553"/>
      <c r="E13" s="553"/>
      <c r="M13" s="527">
        <v>2013</v>
      </c>
      <c r="N13" s="866">
        <v>0.92206346260901828</v>
      </c>
    </row>
    <row r="14" spans="1:21">
      <c r="A14" s="1351" t="s">
        <v>1209</v>
      </c>
      <c r="B14" s="880">
        <v>1</v>
      </c>
      <c r="C14" s="881" t="s">
        <v>1208</v>
      </c>
      <c r="D14" s="553"/>
      <c r="E14" s="1351" t="s">
        <v>1209</v>
      </c>
      <c r="F14" s="880">
        <v>1</v>
      </c>
      <c r="G14" s="882" t="s">
        <v>1210</v>
      </c>
      <c r="M14" s="527">
        <v>2014</v>
      </c>
      <c r="N14" s="866">
        <v>0.92605307107069956</v>
      </c>
    </row>
    <row r="15" spans="1:21">
      <c r="A15" s="1352"/>
      <c r="B15" s="1344" t="s">
        <v>1211</v>
      </c>
      <c r="C15" s="1354"/>
      <c r="D15" s="553"/>
      <c r="E15" s="1352"/>
      <c r="F15" s="1344" t="s">
        <v>1211</v>
      </c>
      <c r="G15" s="1345"/>
      <c r="M15" s="527">
        <v>2015</v>
      </c>
      <c r="N15" s="866">
        <v>0.92781592132120982</v>
      </c>
    </row>
    <row r="16" spans="1:21" ht="17" thickBot="1">
      <c r="A16" s="1353"/>
      <c r="B16" s="883"/>
      <c r="C16" s="884" t="s">
        <v>1210</v>
      </c>
      <c r="D16" s="553"/>
      <c r="E16" s="1355"/>
      <c r="F16" s="883"/>
      <c r="G16" s="884" t="s">
        <v>1208</v>
      </c>
      <c r="M16" s="527">
        <v>2016</v>
      </c>
      <c r="N16" s="866">
        <v>0.92994989794024863</v>
      </c>
    </row>
    <row r="17" spans="1:18">
      <c r="A17" s="553"/>
      <c r="B17" s="553"/>
      <c r="C17" s="553"/>
      <c r="D17" s="553"/>
      <c r="E17" s="553"/>
      <c r="M17" s="527">
        <v>2017</v>
      </c>
      <c r="N17" s="866">
        <v>0.94433104472072738</v>
      </c>
    </row>
    <row r="18" spans="1:18">
      <c r="A18" s="553"/>
      <c r="B18" s="553"/>
      <c r="C18" s="553"/>
      <c r="D18" s="553"/>
      <c r="E18" s="553"/>
      <c r="M18" s="527">
        <v>2018</v>
      </c>
      <c r="N18" s="866">
        <v>0.96084616812024493</v>
      </c>
    </row>
    <row r="19" spans="1:18">
      <c r="A19" s="540" t="s">
        <v>895</v>
      </c>
      <c r="B19" s="541">
        <v>0.1</v>
      </c>
      <c r="C19" s="541" t="s">
        <v>751</v>
      </c>
      <c r="D19" s="842"/>
      <c r="M19" s="527">
        <v>2019</v>
      </c>
      <c r="N19" s="866">
        <v>0.9723510855446279</v>
      </c>
    </row>
    <row r="20" spans="1:18">
      <c r="A20" s="527" t="s">
        <v>1212</v>
      </c>
      <c r="B20" s="364">
        <v>0.15</v>
      </c>
      <c r="C20" s="364" t="s">
        <v>751</v>
      </c>
      <c r="D20" s="692"/>
      <c r="M20" s="527">
        <v>2020</v>
      </c>
      <c r="N20" s="866">
        <v>0.97476340694006314</v>
      </c>
      <c r="Q20" s="308"/>
      <c r="R20" s="308"/>
    </row>
    <row r="21" spans="1:18">
      <c r="A21" s="527" t="s">
        <v>1213</v>
      </c>
      <c r="B21" s="364"/>
      <c r="C21" s="364" t="s">
        <v>751</v>
      </c>
      <c r="D21" s="692"/>
      <c r="M21" s="545">
        <v>2021</v>
      </c>
      <c r="N21" s="867">
        <v>1</v>
      </c>
      <c r="Q21" s="308"/>
      <c r="R21" s="308"/>
    </row>
    <row r="22" spans="1:18">
      <c r="A22" s="527"/>
      <c r="B22" s="364"/>
      <c r="C22" s="364"/>
      <c r="D22" s="692"/>
      <c r="Q22" s="308"/>
      <c r="R22" s="308"/>
    </row>
    <row r="23" spans="1:18">
      <c r="A23" s="527" t="s">
        <v>1214</v>
      </c>
      <c r="B23" s="364">
        <v>55.9</v>
      </c>
      <c r="C23" s="364" t="s">
        <v>1215</v>
      </c>
      <c r="D23" s="825" t="s">
        <v>1216</v>
      </c>
    </row>
    <row r="24" spans="1:18">
      <c r="A24" s="527"/>
      <c r="B24" s="885">
        <f>B23*B27/B25</f>
        <v>50.501462902881123</v>
      </c>
      <c r="C24" s="364" t="s">
        <v>1217</v>
      </c>
      <c r="D24" s="825" t="s">
        <v>1216</v>
      </c>
      <c r="K24" s="526" t="s">
        <v>1218</v>
      </c>
      <c r="L24" s="526" t="s">
        <v>1219</v>
      </c>
      <c r="M24" s="526">
        <v>1.1827000000000001</v>
      </c>
      <c r="N24" s="526" t="s">
        <v>1220</v>
      </c>
    </row>
    <row r="25" spans="1:18" ht="18">
      <c r="A25" s="527" t="s">
        <v>1221</v>
      </c>
      <c r="B25" s="364">
        <v>51.472999999999999</v>
      </c>
      <c r="C25" s="364" t="s">
        <v>1222</v>
      </c>
      <c r="D25" s="825" t="s">
        <v>944</v>
      </c>
      <c r="M25" s="526">
        <v>0.89266999999999996</v>
      </c>
      <c r="N25" s="526" t="s">
        <v>1223</v>
      </c>
    </row>
    <row r="26" spans="1:18" ht="18">
      <c r="A26" s="527"/>
      <c r="B26" s="364">
        <f>B25/3.6</f>
        <v>14.298055555555555</v>
      </c>
      <c r="C26" s="364" t="s">
        <v>1224</v>
      </c>
      <c r="D26" s="825" t="s">
        <v>944</v>
      </c>
      <c r="K26" s="339" t="s">
        <v>1225</v>
      </c>
      <c r="M26" s="526">
        <v>1.4825999999999999</v>
      </c>
      <c r="N26" s="526" t="s">
        <v>1226</v>
      </c>
    </row>
    <row r="27" spans="1:18" ht="18">
      <c r="A27" s="527" t="s">
        <v>1227</v>
      </c>
      <c r="B27" s="364">
        <v>46.502000000000002</v>
      </c>
      <c r="C27" s="364" t="s">
        <v>1228</v>
      </c>
      <c r="D27" s="825" t="s">
        <v>944</v>
      </c>
      <c r="M27" s="526">
        <v>129.88</v>
      </c>
      <c r="N27" s="526" t="s">
        <v>1229</v>
      </c>
    </row>
    <row r="28" spans="1:18">
      <c r="A28" s="527"/>
      <c r="B28" s="364"/>
      <c r="C28" s="364"/>
      <c r="D28" s="692"/>
    </row>
    <row r="29" spans="1:18">
      <c r="A29" s="527" t="s">
        <v>1230</v>
      </c>
      <c r="B29" s="886">
        <v>0.17599999999999999</v>
      </c>
      <c r="C29" s="364"/>
      <c r="D29" s="825" t="s">
        <v>1231</v>
      </c>
    </row>
    <row r="30" spans="1:18">
      <c r="A30" s="527" t="s">
        <v>1232</v>
      </c>
      <c r="B30" s="364">
        <v>41.8</v>
      </c>
      <c r="C30" s="364" t="s">
        <v>1233</v>
      </c>
      <c r="D30" s="825" t="s">
        <v>1234</v>
      </c>
    </row>
    <row r="31" spans="1:18">
      <c r="A31" s="527"/>
      <c r="B31" s="364"/>
      <c r="C31" s="364"/>
      <c r="D31" s="692"/>
    </row>
    <row r="32" spans="1:18">
      <c r="A32" s="527"/>
      <c r="B32" s="364"/>
      <c r="C32" s="364"/>
      <c r="D32" s="692"/>
    </row>
    <row r="33" spans="1:5">
      <c r="A33" s="527" t="s">
        <v>1235</v>
      </c>
      <c r="B33" s="364"/>
      <c r="C33" s="364"/>
      <c r="D33" s="692"/>
    </row>
    <row r="34" spans="1:5">
      <c r="A34" s="527"/>
      <c r="B34" s="364"/>
      <c r="C34" s="364"/>
      <c r="D34" s="692"/>
    </row>
    <row r="35" spans="1:5">
      <c r="A35" s="527" t="s">
        <v>1236</v>
      </c>
      <c r="B35" s="364" t="s">
        <v>493</v>
      </c>
      <c r="C35" s="364">
        <v>1.1494000000000001E-3</v>
      </c>
      <c r="D35" s="692" t="s">
        <v>160</v>
      </c>
    </row>
    <row r="36" spans="1:5">
      <c r="A36" s="527" t="s">
        <v>1237</v>
      </c>
      <c r="B36" s="364" t="s">
        <v>1238</v>
      </c>
      <c r="C36" s="364">
        <v>288.70600000000002</v>
      </c>
      <c r="D36" s="692" t="s">
        <v>636</v>
      </c>
    </row>
    <row r="37" spans="1:5">
      <c r="A37" s="527" t="s">
        <v>1239</v>
      </c>
      <c r="B37" s="364" t="s">
        <v>1240</v>
      </c>
      <c r="C37" s="364">
        <v>101.352</v>
      </c>
      <c r="D37" s="692" t="s">
        <v>1241</v>
      </c>
    </row>
    <row r="38" spans="1:5">
      <c r="A38" s="527" t="s">
        <v>1242</v>
      </c>
      <c r="B38" s="364" t="s">
        <v>1243</v>
      </c>
      <c r="C38" s="364">
        <v>6.9599999999999995E-2</v>
      </c>
      <c r="D38" s="692" t="s">
        <v>160</v>
      </c>
    </row>
    <row r="39" spans="1:5">
      <c r="A39" s="527" t="s">
        <v>1244</v>
      </c>
      <c r="B39" s="364" t="s">
        <v>495</v>
      </c>
      <c r="C39" s="364">
        <v>1.0309999999999999</v>
      </c>
      <c r="D39" s="692" t="s">
        <v>160</v>
      </c>
    </row>
    <row r="40" spans="1:5">
      <c r="A40" s="527" t="s">
        <v>1245</v>
      </c>
      <c r="B40" s="364" t="s">
        <v>499</v>
      </c>
      <c r="C40" s="364">
        <v>8.3140000000000001</v>
      </c>
      <c r="D40" s="692" t="s">
        <v>1246</v>
      </c>
    </row>
    <row r="41" spans="1:5">
      <c r="A41" s="527" t="s">
        <v>1247</v>
      </c>
      <c r="B41" s="364" t="s">
        <v>1248</v>
      </c>
      <c r="C41" s="364">
        <v>4.58</v>
      </c>
      <c r="D41" s="692" t="s">
        <v>205</v>
      </c>
    </row>
    <row r="42" spans="1:5">
      <c r="A42" s="527" t="s">
        <v>1249</v>
      </c>
      <c r="B42" s="364" t="s">
        <v>1250</v>
      </c>
      <c r="C42" s="364">
        <f>0.0178/1000</f>
        <v>1.7799999999999999E-5</v>
      </c>
      <c r="D42" s="692" t="s">
        <v>1251</v>
      </c>
      <c r="E42" s="340">
        <f>C42*1000</f>
        <v>1.78E-2</v>
      </c>
    </row>
    <row r="43" spans="1:5">
      <c r="A43" s="527" t="s">
        <v>1252</v>
      </c>
      <c r="B43" s="364" t="s">
        <v>1253</v>
      </c>
      <c r="C43" s="364">
        <v>8.6999999999999997E-6</v>
      </c>
      <c r="D43" s="692" t="s">
        <v>1254</v>
      </c>
    </row>
    <row r="44" spans="1:5">
      <c r="A44" s="545" t="s">
        <v>1255</v>
      </c>
      <c r="B44" s="546" t="s">
        <v>1256</v>
      </c>
      <c r="C44" s="546">
        <v>288.14999999999998</v>
      </c>
      <c r="D44" s="837" t="s">
        <v>636</v>
      </c>
    </row>
    <row r="47" spans="1:5">
      <c r="A47" s="1346" t="s">
        <v>1257</v>
      </c>
      <c r="B47" s="1347"/>
      <c r="C47" s="1347"/>
      <c r="D47" s="1348"/>
    </row>
    <row r="48" spans="1:5">
      <c r="A48" s="557">
        <v>1</v>
      </c>
      <c r="B48" s="609" t="s">
        <v>1258</v>
      </c>
      <c r="C48" s="609">
        <v>3.6</v>
      </c>
      <c r="D48" s="558" t="s">
        <v>1259</v>
      </c>
    </row>
  </sheetData>
  <sheetProtection algorithmName="SHA-512" hashValue="B5agYjqkNkxFCcpiIc57ED+bdUrWvSUPo+GpCm/Z4BcSLhMV8XbzVhaFpengpXArsNHN/JFIK9Kf7gvwm6mvpA==" saltValue="SZNIQBmOCcesMDoG+Sjtsw==" spinCount="100000" sheet="1" objects="1" scenarios="1"/>
  <mergeCells count="6">
    <mergeCell ref="F15:G15"/>
    <mergeCell ref="A47:D47"/>
    <mergeCell ref="A7:A11"/>
    <mergeCell ref="A14:A16"/>
    <mergeCell ref="B15:C15"/>
    <mergeCell ref="E14:E16"/>
  </mergeCells>
  <dataValidations disablePrompts="1" count="1">
    <dataValidation type="list" allowBlank="1" showInputMessage="1" showErrorMessage="1" sqref="C14 G16" xr:uid="{8F65D262-0829-4B42-A9A4-004E71E5F966}">
      <formula1>$B$7:$B$11</formula1>
    </dataValidation>
  </dataValidations>
  <hyperlinks>
    <hyperlink ref="D23" r:id="rId1" xr:uid="{CC78FCDA-7A28-AE46-A017-FEA17D6530A5}"/>
    <hyperlink ref="R2" r:id="rId2" xr:uid="{1341A38F-5618-443E-8535-72AE640DDD74}"/>
    <hyperlink ref="D25" r:id="rId3" display="Collodi et al., " xr:uid="{B4346357-96AA-0546-91F8-AD133001ED8A}"/>
    <hyperlink ref="D27" r:id="rId4" display="Collodi et al., " xr:uid="{CB363C09-563A-FE43-9882-A39E57E53157}"/>
    <hyperlink ref="D29" r:id="rId5" xr:uid="{D8B2F09A-2D4F-7C4B-982D-F30BBCCD319C}"/>
    <hyperlink ref="D26" r:id="rId6" display="Collodi et al., " xr:uid="{B7939DA4-BB72-7F40-BBF7-D6A6296A0670}"/>
    <hyperlink ref="D24" r:id="rId7" xr:uid="{21194AFA-5CFA-FA42-925A-1744996A3D1E}"/>
    <hyperlink ref="D30" r:id="rId8" xr:uid="{FF02E199-712C-684E-845E-C85C64666E1D}"/>
    <hyperlink ref="K26" r:id="rId9" xr:uid="{400C4E4C-78FA-47EE-AA3E-3CB62081FD81}"/>
  </hyperlinks>
  <pageMargins left="0.7" right="0.7" top="0.75" bottom="0.75" header="0.3" footer="0.3"/>
  <pageSetup paperSize="9" orientation="portrait" r:id="rId1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AA837-4DC7-497A-874C-1C3616FD0306}">
  <dimension ref="A1:W71"/>
  <sheetViews>
    <sheetView zoomScale="84" zoomScaleNormal="60" workbookViewId="0">
      <selection activeCell="M35" sqref="M35"/>
    </sheetView>
  </sheetViews>
  <sheetFormatPr baseColWidth="10" defaultColWidth="8.83203125" defaultRowHeight="16"/>
  <cols>
    <col min="1" max="1" width="22.5" style="364" bestFit="1" customWidth="1"/>
    <col min="2" max="2" width="10" style="364" bestFit="1" customWidth="1"/>
    <col min="3" max="3" width="12" style="364" customWidth="1"/>
    <col min="4" max="4" width="8.83203125" style="364"/>
    <col min="5" max="5" width="19.83203125" style="364" customWidth="1"/>
    <col min="6" max="6" width="11" style="364" customWidth="1"/>
    <col min="7" max="7" width="13.5" style="364" customWidth="1"/>
    <col min="8" max="10" width="8.83203125" style="364"/>
    <col min="11" max="11" width="12.5" style="364" customWidth="1"/>
    <col min="12" max="12" width="21" style="364" bestFit="1" customWidth="1"/>
    <col min="13" max="13" width="18.5" style="364" bestFit="1" customWidth="1"/>
    <col min="14" max="14" width="21" style="364" customWidth="1"/>
    <col min="15" max="15" width="8.83203125" style="364"/>
    <col min="16" max="16" width="12" style="364" customWidth="1"/>
    <col min="17" max="17" width="35.83203125" style="364" bestFit="1" customWidth="1"/>
    <col min="18" max="18" width="10" style="364" customWidth="1"/>
    <col min="19" max="19" width="22.33203125" style="364" customWidth="1"/>
    <col min="20" max="20" width="29.33203125" style="364" customWidth="1"/>
    <col min="21" max="21" width="9" style="364" customWidth="1"/>
    <col min="22" max="22" width="29" style="364" customWidth="1"/>
    <col min="23" max="23" width="8.83203125" style="364"/>
    <col min="24" max="24" width="13.5" style="364" customWidth="1"/>
    <col min="25" max="16384" width="8.83203125" style="364"/>
  </cols>
  <sheetData>
    <row r="1" spans="1:23">
      <c r="A1" s="364" t="s">
        <v>1260</v>
      </c>
      <c r="C1" s="887" t="s">
        <v>1261</v>
      </c>
      <c r="D1" s="364" t="s">
        <v>248</v>
      </c>
      <c r="G1" s="887" t="s">
        <v>1262</v>
      </c>
      <c r="I1" s="887" t="s">
        <v>1263</v>
      </c>
      <c r="K1" s="887" t="s">
        <v>62</v>
      </c>
      <c r="M1" s="364" t="s">
        <v>1264</v>
      </c>
      <c r="O1" s="364" t="s">
        <v>1265</v>
      </c>
      <c r="Q1" s="364" t="s">
        <v>1266</v>
      </c>
      <c r="S1" s="364" t="s">
        <v>1267</v>
      </c>
      <c r="U1" s="364" t="s">
        <v>1268</v>
      </c>
    </row>
    <row r="2" spans="1:23">
      <c r="A2" s="364" t="s">
        <v>21</v>
      </c>
      <c r="C2" s="364" t="s">
        <v>933</v>
      </c>
      <c r="D2" s="364" t="s">
        <v>1269</v>
      </c>
      <c r="G2" s="364" t="s">
        <v>670</v>
      </c>
      <c r="I2" s="364">
        <v>2022</v>
      </c>
      <c r="K2" s="364" t="s">
        <v>666</v>
      </c>
      <c r="M2" s="364" t="s">
        <v>26</v>
      </c>
      <c r="O2" s="364" t="s">
        <v>25</v>
      </c>
      <c r="Q2" s="364" t="s">
        <v>25</v>
      </c>
      <c r="S2" s="364" t="s">
        <v>375</v>
      </c>
      <c r="U2" s="364" t="s">
        <v>27</v>
      </c>
    </row>
    <row r="3" spans="1:23">
      <c r="A3" s="364" t="s">
        <v>152</v>
      </c>
      <c r="C3" s="364" t="s">
        <v>934</v>
      </c>
      <c r="D3" s="364" t="s">
        <v>1270</v>
      </c>
      <c r="G3" s="364" t="s">
        <v>667</v>
      </c>
      <c r="I3" s="364">
        <v>2023</v>
      </c>
      <c r="K3" s="364" t="s">
        <v>671</v>
      </c>
      <c r="M3" s="364" t="s">
        <v>35</v>
      </c>
      <c r="O3" s="364" t="s">
        <v>1271</v>
      </c>
      <c r="Q3" s="364" t="s">
        <v>104</v>
      </c>
      <c r="S3" s="364" t="s">
        <v>1157</v>
      </c>
      <c r="U3" s="364" t="s">
        <v>32</v>
      </c>
    </row>
    <row r="4" spans="1:23">
      <c r="A4" s="364" t="s">
        <v>153</v>
      </c>
      <c r="C4" s="364" t="s">
        <v>935</v>
      </c>
      <c r="D4" s="364" t="s">
        <v>1272</v>
      </c>
      <c r="G4" s="364" t="s">
        <v>668</v>
      </c>
      <c r="I4" s="364">
        <v>2024</v>
      </c>
      <c r="K4" s="364" t="s">
        <v>23</v>
      </c>
      <c r="S4" s="364" t="s">
        <v>334</v>
      </c>
      <c r="U4" s="364" t="s">
        <v>157</v>
      </c>
    </row>
    <row r="5" spans="1:23">
      <c r="G5" s="364" t="s">
        <v>669</v>
      </c>
      <c r="I5" s="364">
        <v>2025</v>
      </c>
      <c r="U5" s="364" t="s">
        <v>1273</v>
      </c>
    </row>
    <row r="6" spans="1:23">
      <c r="I6" s="364">
        <v>2026</v>
      </c>
    </row>
    <row r="7" spans="1:23" ht="17.25" customHeight="1">
      <c r="I7" s="364">
        <v>2027</v>
      </c>
    </row>
    <row r="8" spans="1:23">
      <c r="I8" s="364">
        <v>2028</v>
      </c>
    </row>
    <row r="9" spans="1:23">
      <c r="I9" s="364">
        <v>2029</v>
      </c>
    </row>
    <row r="10" spans="1:23">
      <c r="A10" s="364" t="s">
        <v>1274</v>
      </c>
      <c r="C10" s="888" t="s">
        <v>1275</v>
      </c>
      <c r="E10" s="364" t="s">
        <v>1276</v>
      </c>
      <c r="G10" s="364" t="s">
        <v>1267</v>
      </c>
      <c r="I10" s="364">
        <v>2030</v>
      </c>
      <c r="K10" s="364" t="s">
        <v>1277</v>
      </c>
      <c r="M10" s="364" t="s">
        <v>35</v>
      </c>
      <c r="O10" s="364" t="s">
        <v>1278</v>
      </c>
      <c r="Q10" s="364" t="s">
        <v>1279</v>
      </c>
      <c r="S10" s="364" t="s">
        <v>1280</v>
      </c>
      <c r="U10" s="364" t="s">
        <v>1281</v>
      </c>
    </row>
    <row r="11" spans="1:23">
      <c r="A11" s="364" t="str">
        <f>Tb_CSv[[#Headers],[Germany]]</f>
        <v>Germany</v>
      </c>
      <c r="C11" s="889" t="s">
        <v>21</v>
      </c>
      <c r="E11" s="364" t="s">
        <v>33</v>
      </c>
      <c r="G11" s="364" t="s">
        <v>375</v>
      </c>
      <c r="K11" s="364" t="s">
        <v>1105</v>
      </c>
      <c r="M11" s="364">
        <v>1</v>
      </c>
      <c r="O11" s="364" t="s">
        <v>1282</v>
      </c>
      <c r="Q11" s="364" t="str">
        <f>'Conversion data'!C2</f>
        <v>Pipeline inlet</v>
      </c>
      <c r="S11" s="364" t="s">
        <v>670</v>
      </c>
      <c r="U11" s="364" t="s">
        <v>1283</v>
      </c>
      <c r="W11" s="364" t="s">
        <v>1284</v>
      </c>
    </row>
    <row r="12" spans="1:23">
      <c r="A12" s="364" t="str">
        <f>Tb_CSv[[#Headers],[France]]</f>
        <v>France</v>
      </c>
      <c r="C12" s="889" t="s">
        <v>152</v>
      </c>
      <c r="E12" s="364" t="s">
        <v>1285</v>
      </c>
      <c r="G12" s="364" t="s">
        <v>1157</v>
      </c>
      <c r="K12" s="364" t="s">
        <v>102</v>
      </c>
      <c r="M12" s="364">
        <v>2</v>
      </c>
      <c r="O12" s="364" t="s">
        <v>37</v>
      </c>
      <c r="Q12" s="364" t="str">
        <f>'Conversion data'!E2</f>
        <v>Pipeline inlet - Distribution</v>
      </c>
      <c r="S12" s="364" t="s">
        <v>1286</v>
      </c>
      <c r="U12" s="364" t="s">
        <v>39</v>
      </c>
      <c r="W12" s="364" t="s">
        <v>85</v>
      </c>
    </row>
    <row r="13" spans="1:23">
      <c r="A13" s="364" t="str">
        <f>Tb_CSv[[#Headers],[Spain]]</f>
        <v>Spain</v>
      </c>
      <c r="C13" s="889" t="s">
        <v>153</v>
      </c>
      <c r="G13" s="364" t="s">
        <v>334</v>
      </c>
      <c r="M13" s="364">
        <v>3</v>
      </c>
      <c r="Q13" s="364" t="str">
        <f>'Conversion data'!G2</f>
        <v>Pipeline booster - transmission offshore</v>
      </c>
    </row>
    <row r="14" spans="1:23">
      <c r="A14" s="364" t="str">
        <f>Tb_CSv[[#Headers],[Chile]]</f>
        <v>Chile</v>
      </c>
      <c r="C14" s="889" t="s">
        <v>1287</v>
      </c>
      <c r="Q14" s="364" t="str">
        <f>'Conversion data'!I2</f>
        <v>Pipeline booster - transmission onshore</v>
      </c>
    </row>
    <row r="15" spans="1:23">
      <c r="A15" s="364" t="str">
        <f>Tb_CSv[[#Headers],[Algeria]]</f>
        <v>Algeria</v>
      </c>
      <c r="C15" s="889"/>
      <c r="Q15" s="364" t="str">
        <f>'Conversion data'!K2</f>
        <v>Pipeline booster - distribution</v>
      </c>
    </row>
    <row r="16" spans="1:23">
      <c r="A16" s="364" t="str">
        <f>Tb_CSv[[#Headers],[Australia]]</f>
        <v>Australia</v>
      </c>
      <c r="B16" s="551"/>
      <c r="C16" s="889"/>
      <c r="Q16" s="364" t="str">
        <f>'Conversion data'!M2</f>
        <v>Final compression</v>
      </c>
    </row>
    <row r="17" spans="1:19">
      <c r="A17" s="364" t="str">
        <f>'Prod Data'!AS2</f>
        <v>Saudi Arabia</v>
      </c>
      <c r="C17" s="889"/>
      <c r="Q17" s="364" t="str">
        <f>'Conversion data'!O2</f>
        <v>Truck - 250 bar</v>
      </c>
    </row>
    <row r="18" spans="1:19">
      <c r="A18" s="364" t="str">
        <f>'Prod Data'!AU2</f>
        <v>Norway</v>
      </c>
      <c r="C18" s="889"/>
      <c r="Q18" s="526" t="str">
        <f>'Conversion data'!Q2</f>
        <v>Tank - Type I</v>
      </c>
    </row>
    <row r="19" spans="1:19">
      <c r="A19" s="364" t="str">
        <f>'Prod Data'!AW2</f>
        <v>Qatar</v>
      </c>
      <c r="C19" s="889"/>
      <c r="Q19" s="526" t="str">
        <f>'Conversion data'!S2</f>
        <v>Tank - Type II</v>
      </c>
    </row>
    <row r="20" spans="1:19">
      <c r="Q20" s="526" t="str">
        <f>'Conversion data'!U2</f>
        <v>Tank - Type III</v>
      </c>
    </row>
    <row r="21" spans="1:19">
      <c r="A21" s="364" t="s">
        <v>280</v>
      </c>
      <c r="Q21" s="526" t="str">
        <f>'Conversion data'!W2</f>
        <v>Tank - Type IV</v>
      </c>
    </row>
    <row r="22" spans="1:19">
      <c r="A22" s="364" t="s">
        <v>1288</v>
      </c>
      <c r="Q22" s="526" t="str">
        <f>'Conversion data'!Y2</f>
        <v>Geological - Depleted NG or Oil Reservoir</v>
      </c>
    </row>
    <row r="23" spans="1:19">
      <c r="A23" s="364" t="s">
        <v>280</v>
      </c>
      <c r="Q23" s="526" t="str">
        <f>'Conversion data'!AA2</f>
        <v>Geological - Salt Cavern</v>
      </c>
    </row>
    <row r="24" spans="1:19">
      <c r="Q24" s="526" t="str">
        <f>'Conversion data'!AC2</f>
        <v>Geological - Lined Rock Cavern</v>
      </c>
    </row>
    <row r="25" spans="1:19">
      <c r="Q25" s="526" t="str">
        <f>'Conversion data'!AE2</f>
        <v>Geological - Aquifer</v>
      </c>
    </row>
    <row r="26" spans="1:19">
      <c r="Q26" s="887"/>
    </row>
    <row r="27" spans="1:19">
      <c r="S27" s="364" t="s">
        <v>1289</v>
      </c>
    </row>
    <row r="28" spans="1:19">
      <c r="A28" s="364" t="s">
        <v>665</v>
      </c>
      <c r="S28" s="364" t="s">
        <v>622</v>
      </c>
    </row>
    <row r="29" spans="1:19">
      <c r="A29" s="364" t="str">
        <f>IF(OR(HOME!B56="Electrolysis",HOME!B57="Electrolysis",HOME!B58="Electrolysis",HOME!B59="Electrolysis",HOME!B60="Electrolysis",HOME!B61="Electrolysis",HOME!B62="Electrolysis"),"Electrolysis",IF(OR(HOME!B56="SMR",HOME!B57="SMR",HOME!B58="SMR",HOME!B59="SMR",HOME!B60="SMR",HOME!B61="SMR",HOME!B62="SMR"),"SMR",IF(OR(HOME!B57="Pyrolysis",HOME!B58="Pyrolysis",HOME!B59="Pyrolysis",HOME!B60="Pyrolysis",HOME!B61="Pyrolysis",HOME!B62="Pyrolysis"),"Pyrolysis","-")))</f>
        <v>Electrolysis</v>
      </c>
      <c r="Q29" s="364" t="s">
        <v>1290</v>
      </c>
      <c r="S29" s="364" t="s">
        <v>1291</v>
      </c>
    </row>
    <row r="30" spans="1:19">
      <c r="A30" s="364" t="str">
        <f>IF(OR(HOME!B57="SMR",HOME!B58="SMR",HOME!B59="SMR",HOME!B60="SMR",HOME!B61="SMR",HOME!B62="SMR"),"SMR",IF(OR(HOME!B57="Pyrolysis",HOME!B58="Pyrolysis",HOME!B59="Pyrolysis",HOME!B60="Pyrolysis",HOME!B61="Pyrolysis",HOME!B62="Pyrolysis"),"Pyrolysis","-"))</f>
        <v>SMR</v>
      </c>
      <c r="Q30" s="364" t="s">
        <v>402</v>
      </c>
      <c r="S30" s="364" t="s">
        <v>1292</v>
      </c>
    </row>
    <row r="31" spans="1:19">
      <c r="A31" s="364" t="str">
        <f>IF(OR(HOME!B58="Pyrolysis",HOME!B59="Pyrolysis",HOME!B60="Pyrolysis",HOME!B61="Pyrolysis",HOME!B62="Pyrolysis"),"Pyrolysis","-")</f>
        <v>Pyrolysis</v>
      </c>
      <c r="C31" s="829"/>
      <c r="Q31" s="364" t="s">
        <v>403</v>
      </c>
      <c r="S31" s="364" t="s">
        <v>1293</v>
      </c>
    </row>
    <row r="36" spans="17:19">
      <c r="Q36" s="364" t="s">
        <v>1294</v>
      </c>
    </row>
    <row r="37" spans="17:19">
      <c r="Q37" s="364" t="s">
        <v>1295</v>
      </c>
    </row>
    <row r="38" spans="17:19">
      <c r="Q38" s="364" t="s">
        <v>572</v>
      </c>
      <c r="S38" s="364" t="s">
        <v>1290</v>
      </c>
    </row>
    <row r="39" spans="17:19">
      <c r="S39" s="609" t="s">
        <v>40</v>
      </c>
    </row>
    <row r="40" spans="17:19">
      <c r="Q40" s="364" t="s">
        <v>240</v>
      </c>
      <c r="S40" s="609" t="s">
        <v>40</v>
      </c>
    </row>
    <row r="41" spans="17:19">
      <c r="Q41" s="364" t="s">
        <v>144</v>
      </c>
      <c r="S41" s="609" t="s">
        <v>121</v>
      </c>
    </row>
    <row r="42" spans="17:19">
      <c r="Q42" s="364" t="s">
        <v>145</v>
      </c>
      <c r="S42" s="609" t="s">
        <v>122</v>
      </c>
    </row>
    <row r="43" spans="17:19">
      <c r="S43" s="609" t="s">
        <v>149</v>
      </c>
    </row>
    <row r="44" spans="17:19">
      <c r="S44" s="609" t="s">
        <v>150</v>
      </c>
    </row>
    <row r="45" spans="17:19">
      <c r="S45" s="609" t="s">
        <v>151</v>
      </c>
    </row>
    <row r="46" spans="17:19">
      <c r="S46" s="541" t="s">
        <v>128</v>
      </c>
    </row>
    <row r="65" spans="1:9">
      <c r="A65" s="890" t="s">
        <v>1296</v>
      </c>
      <c r="C65" s="890" t="s">
        <v>1297</v>
      </c>
      <c r="E65" s="891" t="s">
        <v>1298</v>
      </c>
      <c r="G65" s="891" t="s">
        <v>1299</v>
      </c>
      <c r="I65" s="891" t="s">
        <v>1300</v>
      </c>
    </row>
    <row r="66" spans="1:9">
      <c r="A66" s="892" t="str">
        <f>IF(HOME!$D$9="Electrolysis",HOME!C56,IF(HOME!$D$9="SMR","No",""))</f>
        <v>Solar</v>
      </c>
      <c r="C66" s="892" t="str">
        <f>IF(HOME!$D$9="Electrolysis",'List DB'!C2,IF(HOME!$D$9="SMR","Natural gas",""))</f>
        <v>AEL</v>
      </c>
      <c r="E66" s="468" t="str">
        <f>IF(HOME!E9="Ship","LH2",IF(HOME!E9="Pipeline","New","error"))</f>
        <v>LH2</v>
      </c>
      <c r="G66" s="468" t="str">
        <f>IF(HOME!F9="Pipeline","New","")</f>
        <v>New</v>
      </c>
      <c r="I66" s="468" t="str">
        <f>IF(HOME!H9="Truck","LH2",IF(HOME!H9="Pipeline","New","error"))</f>
        <v>LH2</v>
      </c>
    </row>
    <row r="67" spans="1:9">
      <c r="A67" s="892" t="str">
        <f>IF(HOME!$D$9="Electrolysis",HOME!C57,IF(HOME!$D$9="SMR","Yes",""))</f>
        <v>Onshore wind</v>
      </c>
      <c r="C67" s="892" t="str">
        <f>IF(HOME!$D$9="Electrolysis",'List DB'!C3,IF(HOME!$D$9="SMR","H2",""))</f>
        <v>PEM</v>
      </c>
      <c r="E67" s="468" t="str">
        <f>IF(HOME!E9="Ship","NH3",IF(HOME!E9="Pipeline","Repurposed","error"))</f>
        <v>NH3</v>
      </c>
      <c r="G67" s="468" t="str">
        <f>IF(HOME!F9="Pipeline","Repurposed","")</f>
        <v>Repurposed</v>
      </c>
      <c r="I67" s="468" t="str">
        <f>IF(HOME!H9="Truck","NH3",IF(HOME!H9="Pipeline","Repurposed","error"))</f>
        <v>NH3</v>
      </c>
    </row>
    <row r="68" spans="1:9">
      <c r="A68" s="892" t="str">
        <f>IF(HOME!$D$9="Electrolysis",HOME!C58,"")</f>
        <v>Offshore wind</v>
      </c>
      <c r="C68" s="892" t="str">
        <f>IF(HOME!$D$9="Electrolysis",'List DB'!C4,"")</f>
        <v>SOEC</v>
      </c>
      <c r="I68" s="468" t="str">
        <f>IF(HOME!H9="Truck","gH2",IF(HOME!H9="Pipeline","","error"))</f>
        <v>gH2</v>
      </c>
    </row>
    <row r="69" spans="1:9">
      <c r="A69" s="892" t="str">
        <f>IF(HOME!$D$9="Electrolysis",HOME!C59,"")</f>
        <v>Grid</v>
      </c>
    </row>
    <row r="70" spans="1:9">
      <c r="A70" s="892" t="str">
        <f>IF(HOME!$D$9="Electrolysis",HOME!C60,"")</f>
        <v>-</v>
      </c>
    </row>
    <row r="71" spans="1:9">
      <c r="A71" s="892" t="str">
        <f>IF(HOME!$D$9="Electrolysis",HOME!C61,"")</f>
        <v>-</v>
      </c>
    </row>
  </sheetData>
  <sheetProtection algorithmName="SHA-512" hashValue="pwIzixACDdW9xVc0VMxKcc8HWtw3jzjWz1ZJJwuau5dHtlHy2AMaFDzhWzLmP7JvkB96IH43I37yv6QxpmeYDg==" saltValue="GDiUuz4jsUpuKGFqbxKulg==" spinCount="100000" sheet="1" objects="1" scenarios="1"/>
  <pageMargins left="0.7" right="0.7" top="0.75" bottom="0.75" header="0.3" footer="0.3"/>
  <pageSetup paperSize="9" orientation="portrait" r:id="rId1"/>
  <tableParts count="2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61</vt:i4>
      </vt:variant>
    </vt:vector>
  </HeadingPairs>
  <TitlesOfParts>
    <vt:vector size="94" baseType="lpstr">
      <vt:lpstr>HOME</vt:lpstr>
      <vt:lpstr>LCOE</vt:lpstr>
      <vt:lpstr>Electrolysis</vt:lpstr>
      <vt:lpstr>CFA Electrolysis</vt:lpstr>
      <vt:lpstr>SMR</vt:lpstr>
      <vt:lpstr>CFA SMR</vt:lpstr>
      <vt:lpstr>Pyr</vt:lpstr>
      <vt:lpstr>CFA Pyrolysis</vt:lpstr>
      <vt:lpstr>Prod Data</vt:lpstr>
      <vt:lpstr>FinalStorage</vt:lpstr>
      <vt:lpstr>IntStorage</vt:lpstr>
      <vt:lpstr>Storage Data</vt:lpstr>
      <vt:lpstr>Pipeline</vt:lpstr>
      <vt:lpstr>Shipping</vt:lpstr>
      <vt:lpstr>Truck</vt:lpstr>
      <vt:lpstr>T&amp;D Data</vt:lpstr>
      <vt:lpstr>Compression</vt:lpstr>
      <vt:lpstr>CFA Compression</vt:lpstr>
      <vt:lpstr>NH3 reconversion</vt:lpstr>
      <vt:lpstr>CFA NH3 reconversion</vt:lpstr>
      <vt:lpstr>NH3 conversion</vt:lpstr>
      <vt:lpstr>CFA NH3 conversion</vt:lpstr>
      <vt:lpstr>Regasification</vt:lpstr>
      <vt:lpstr>CFA Regasification</vt:lpstr>
      <vt:lpstr>Liquefaction</vt:lpstr>
      <vt:lpstr>CFA Liquefaction</vt:lpstr>
      <vt:lpstr>Conversion data</vt:lpstr>
      <vt:lpstr>Prod. Pathways</vt:lpstr>
      <vt:lpstr>Supply routes</vt:lpstr>
      <vt:lpstr>Fuel Data</vt:lpstr>
      <vt:lpstr>CoolProp</vt:lpstr>
      <vt:lpstr>General values</vt:lpstr>
      <vt:lpstr>List DB</vt:lpstr>
      <vt:lpstr>'CFA Liquefaction'!Countries</vt:lpstr>
      <vt:lpstr>'CFA NH3 conversion'!Countries</vt:lpstr>
      <vt:lpstr>'CFA NH3 reconversion'!Countries</vt:lpstr>
      <vt:lpstr>'CFA Regasification'!Countries</vt:lpstr>
      <vt:lpstr>IntStorage!Countries</vt:lpstr>
      <vt:lpstr>Liquefaction!Countries</vt:lpstr>
      <vt:lpstr>'NH3 conversion'!Countries</vt:lpstr>
      <vt:lpstr>'NH3 reconversion'!Countries</vt:lpstr>
      <vt:lpstr>Regasification!Countries</vt:lpstr>
      <vt:lpstr>Countries</vt:lpstr>
      <vt:lpstr>'CFA Liquefaction'!Electrolysis</vt:lpstr>
      <vt:lpstr>'CFA NH3 conversion'!Electrolysis</vt:lpstr>
      <vt:lpstr>'CFA NH3 reconversion'!Electrolysis</vt:lpstr>
      <vt:lpstr>'CFA Regasification'!Electrolysis</vt:lpstr>
      <vt:lpstr>IntStorage!Electrolysis</vt:lpstr>
      <vt:lpstr>Liquefaction!Electrolysis</vt:lpstr>
      <vt:lpstr>'NH3 conversion'!Electrolysis</vt:lpstr>
      <vt:lpstr>'NH3 reconversion'!Electrolysis</vt:lpstr>
      <vt:lpstr>Regasification!Electrolysis</vt:lpstr>
      <vt:lpstr>Electrolysis</vt:lpstr>
      <vt:lpstr>'CFA Liquefaction'!ElSources</vt:lpstr>
      <vt:lpstr>'CFA NH3 conversion'!ElSources</vt:lpstr>
      <vt:lpstr>'CFA NH3 reconversion'!ElSources</vt:lpstr>
      <vt:lpstr>'CFA Regasification'!ElSources</vt:lpstr>
      <vt:lpstr>IntStorage!ElSources</vt:lpstr>
      <vt:lpstr>Liquefaction!ElSources</vt:lpstr>
      <vt:lpstr>'NH3 conversion'!ElSources</vt:lpstr>
      <vt:lpstr>'NH3 reconversion'!ElSources</vt:lpstr>
      <vt:lpstr>Regasification!ElSources</vt:lpstr>
      <vt:lpstr>ElSources</vt:lpstr>
      <vt:lpstr>'CFA Liquefaction'!ElTypes</vt:lpstr>
      <vt:lpstr>'CFA NH3 conversion'!ElTypes</vt:lpstr>
      <vt:lpstr>'CFA NH3 reconversion'!ElTypes</vt:lpstr>
      <vt:lpstr>'CFA Regasification'!ElTypes</vt:lpstr>
      <vt:lpstr>IntStorage!ElTypes</vt:lpstr>
      <vt:lpstr>Liquefaction!ElTypes</vt:lpstr>
      <vt:lpstr>'NH3 conversion'!ElTypes</vt:lpstr>
      <vt:lpstr>'NH3 reconversion'!ElTypes</vt:lpstr>
      <vt:lpstr>Regasification!ElTypes</vt:lpstr>
      <vt:lpstr>ElTypes</vt:lpstr>
      <vt:lpstr>ProdMethod</vt:lpstr>
      <vt:lpstr>'CFA Liquefaction'!ProjStartingYear</vt:lpstr>
      <vt:lpstr>'CFA NH3 conversion'!ProjStartingYear</vt:lpstr>
      <vt:lpstr>'CFA NH3 reconversion'!ProjStartingYear</vt:lpstr>
      <vt:lpstr>'CFA Regasification'!ProjStartingYear</vt:lpstr>
      <vt:lpstr>IntStorage!ProjStartingYear</vt:lpstr>
      <vt:lpstr>Liquefaction!ProjStartingYear</vt:lpstr>
      <vt:lpstr>'NH3 conversion'!ProjStartingYear</vt:lpstr>
      <vt:lpstr>'NH3 reconversion'!ProjStartingYear</vt:lpstr>
      <vt:lpstr>Regasification!ProjStartingYear</vt:lpstr>
      <vt:lpstr>ProjStartingYear</vt:lpstr>
      <vt:lpstr>'CFA Liquefaction'!TbELv</vt:lpstr>
      <vt:lpstr>'CFA NH3 conversion'!TbELv</vt:lpstr>
      <vt:lpstr>'CFA NH3 reconversion'!TbELv</vt:lpstr>
      <vt:lpstr>'CFA Regasification'!TbELv</vt:lpstr>
      <vt:lpstr>IntStorage!TbELv</vt:lpstr>
      <vt:lpstr>Liquefaction!TbELv</vt:lpstr>
      <vt:lpstr>'NH3 conversion'!TbELv</vt:lpstr>
      <vt:lpstr>'NH3 reconversion'!TbELv</vt:lpstr>
      <vt:lpstr>Regasification!TbELv</vt:lpstr>
      <vt:lpstr>TbELv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Ahmed Elberry</cp:lastModifiedBy>
  <cp:revision/>
  <dcterms:created xsi:type="dcterms:W3CDTF">2022-02-23T09:26:22Z</dcterms:created>
  <dcterms:modified xsi:type="dcterms:W3CDTF">2024-01-10T20:52:01Z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f2ec83-e677-438d-afb7-4c7c0dbc872b_Enabled">
    <vt:lpwstr>true</vt:lpwstr>
  </property>
  <property fmtid="{D5CDD505-2E9C-101B-9397-08002B2CF9AE}" pid="3" name="MSIP_Label_a7f2ec83-e677-438d-afb7-4c7c0dbc872b_SetDate">
    <vt:lpwstr>2022-06-17T20:53:25Z</vt:lpwstr>
  </property>
  <property fmtid="{D5CDD505-2E9C-101B-9397-08002B2CF9AE}" pid="4" name="MSIP_Label_a7f2ec83-e677-438d-afb7-4c7c0dbc872b_Method">
    <vt:lpwstr>Privileged</vt:lpwstr>
  </property>
  <property fmtid="{D5CDD505-2E9C-101B-9397-08002B2CF9AE}" pid="5" name="MSIP_Label_a7f2ec83-e677-438d-afb7-4c7c0dbc872b_Name">
    <vt:lpwstr>a7f2ec83-e677-438d-afb7-4c7c0dbc872b</vt:lpwstr>
  </property>
  <property fmtid="{D5CDD505-2E9C-101B-9397-08002B2CF9AE}" pid="6" name="MSIP_Label_a7f2ec83-e677-438d-afb7-4c7c0dbc872b_SiteId">
    <vt:lpwstr>3bc062e4-ac9d-4c17-b4dd-3aad637ff1ac</vt:lpwstr>
  </property>
  <property fmtid="{D5CDD505-2E9C-101B-9397-08002B2CF9AE}" pid="7" name="MSIP_Label_a7f2ec83-e677-438d-afb7-4c7c0dbc872b_ActionId">
    <vt:lpwstr>a37038b8-1d2d-4b94-a9c1-7c15b028efc8</vt:lpwstr>
  </property>
  <property fmtid="{D5CDD505-2E9C-101B-9397-08002B2CF9AE}" pid="8" name="MSIP_Label_a7f2ec83-e677-438d-afb7-4c7c0dbc872b_ContentBits">
    <vt:lpwstr>0</vt:lpwstr>
  </property>
</Properties>
</file>