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E359CA7B-B6EF-4B9E-B4C7-9BCF75270ED2}" xr6:coauthVersionLast="47" xr6:coauthVersionMax="47" xr10:uidLastSave="{00000000-0000-0000-0000-000000000000}"/>
  <bookViews>
    <workbookView xWindow="1770" yWindow="2940" windowWidth="17610" windowHeight="10100" xr2:uid="{00000000-000D-0000-FFFF-FFFF00000000}"/>
  </bookViews>
  <sheets>
    <sheet name="Machine type 1" sheetId="1" r:id="rId1"/>
    <sheet name="Machine type 2" sheetId="2" r:id="rId2"/>
    <sheet name="Type 1 with loan" sheetId="4" r:id="rId3"/>
    <sheet name="Type 2 with loan" sheetId="5" r:id="rId4"/>
    <sheet name="Calculation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F2" i="3"/>
  <c r="F3" i="3"/>
  <c r="B8" i="4"/>
  <c r="G29" i="4"/>
  <c r="G29" i="5"/>
  <c r="C30" i="2"/>
  <c r="G29" i="2"/>
  <c r="G29" i="1"/>
  <c r="G41" i="1"/>
  <c r="C31" i="5"/>
  <c r="C27" i="1"/>
  <c r="W4" i="4"/>
  <c r="W5" i="4"/>
  <c r="W6" i="4"/>
  <c r="W7" i="4"/>
  <c r="W3" i="4"/>
  <c r="O9" i="4" l="1"/>
  <c r="P9" i="4" s="1"/>
  <c r="Q9" i="4" s="1"/>
  <c r="R9" i="4" s="1"/>
  <c r="S9" i="4" s="1"/>
  <c r="T9" i="4" s="1"/>
  <c r="U9" i="4" s="1"/>
  <c r="V9" i="4" s="1"/>
  <c r="O2" i="4"/>
  <c r="P2" i="4" s="1"/>
  <c r="Q2" i="4" s="1"/>
  <c r="R2" i="4" s="1"/>
  <c r="S2" i="4" s="1"/>
  <c r="T2" i="4" s="1"/>
  <c r="U2" i="4" s="1"/>
  <c r="V2" i="4" s="1"/>
  <c r="B14" i="4"/>
  <c r="F44" i="4" s="1"/>
  <c r="B9" i="4"/>
  <c r="F21" i="4"/>
  <c r="E29" i="4"/>
  <c r="E37" i="4" s="1"/>
  <c r="G44" i="5"/>
  <c r="F44" i="5"/>
  <c r="E44" i="5"/>
  <c r="D44" i="5"/>
  <c r="C44" i="5"/>
  <c r="B43" i="5"/>
  <c r="G40" i="5"/>
  <c r="B39" i="5"/>
  <c r="B45" i="5" s="1"/>
  <c r="G30" i="5"/>
  <c r="F30" i="5"/>
  <c r="E30" i="5"/>
  <c r="D30" i="5"/>
  <c r="C30" i="5"/>
  <c r="G37" i="5"/>
  <c r="F29" i="5"/>
  <c r="F37" i="5" s="1"/>
  <c r="E29" i="5"/>
  <c r="E37" i="5" s="1"/>
  <c r="D29" i="5"/>
  <c r="D37" i="5" s="1"/>
  <c r="C29" i="5"/>
  <c r="C37" i="5" s="1"/>
  <c r="G28" i="5"/>
  <c r="F28" i="5"/>
  <c r="E28" i="5"/>
  <c r="D28" i="5"/>
  <c r="C28" i="5"/>
  <c r="G22" i="5"/>
  <c r="F22" i="5"/>
  <c r="E22" i="5"/>
  <c r="D22" i="5"/>
  <c r="C22" i="5"/>
  <c r="G21" i="5"/>
  <c r="G23" i="5" s="1"/>
  <c r="F21" i="5"/>
  <c r="F23" i="5" s="1"/>
  <c r="E21" i="5"/>
  <c r="E23" i="5" s="1"/>
  <c r="D21" i="5"/>
  <c r="D23" i="5" s="1"/>
  <c r="C21" i="5"/>
  <c r="C23" i="5" s="1"/>
  <c r="B43" i="4"/>
  <c r="G40" i="4"/>
  <c r="G28" i="4"/>
  <c r="F28" i="4"/>
  <c r="E28" i="4"/>
  <c r="D28" i="4"/>
  <c r="C28" i="4"/>
  <c r="G22" i="4"/>
  <c r="F22" i="4"/>
  <c r="E22" i="4"/>
  <c r="D22" i="4"/>
  <c r="C22" i="4"/>
  <c r="C21" i="2"/>
  <c r="G44" i="2"/>
  <c r="F44" i="2"/>
  <c r="E44" i="2"/>
  <c r="D44" i="2"/>
  <c r="C44" i="2"/>
  <c r="B43" i="2"/>
  <c r="G40" i="2"/>
  <c r="B39" i="2"/>
  <c r="G30" i="2"/>
  <c r="F30" i="2"/>
  <c r="E30" i="2"/>
  <c r="D30" i="2"/>
  <c r="G37" i="2"/>
  <c r="F29" i="2"/>
  <c r="F37" i="2" s="1"/>
  <c r="E29" i="2"/>
  <c r="E37" i="2" s="1"/>
  <c r="D29" i="2"/>
  <c r="D37" i="2" s="1"/>
  <c r="C29" i="2"/>
  <c r="C37" i="2" s="1"/>
  <c r="G28" i="2"/>
  <c r="F28" i="2"/>
  <c r="E28" i="2"/>
  <c r="D28" i="2"/>
  <c r="C28" i="2"/>
  <c r="G22" i="2"/>
  <c r="F22" i="2"/>
  <c r="E22" i="2"/>
  <c r="D22" i="2"/>
  <c r="C22" i="2"/>
  <c r="C27" i="2" s="1"/>
  <c r="G21" i="2"/>
  <c r="G23" i="2" s="1"/>
  <c r="F21" i="2"/>
  <c r="F23" i="2" s="1"/>
  <c r="E21" i="2"/>
  <c r="E23" i="2" s="1"/>
  <c r="D21" i="2"/>
  <c r="D23" i="2" s="1"/>
  <c r="E44" i="1"/>
  <c r="C44" i="1"/>
  <c r="D44" i="1"/>
  <c r="F44" i="1"/>
  <c r="G44" i="1"/>
  <c r="B43" i="1"/>
  <c r="D30" i="1"/>
  <c r="E30" i="1"/>
  <c r="F30" i="1"/>
  <c r="G30" i="1"/>
  <c r="C30" i="1"/>
  <c r="G40" i="1"/>
  <c r="B39" i="1"/>
  <c r="B45" i="1" s="1"/>
  <c r="D29" i="1"/>
  <c r="D37" i="1" s="1"/>
  <c r="E29" i="1"/>
  <c r="E37" i="1" s="1"/>
  <c r="F29" i="1"/>
  <c r="F37" i="1" s="1"/>
  <c r="G37" i="1"/>
  <c r="C29" i="1"/>
  <c r="D28" i="1"/>
  <c r="E28" i="1"/>
  <c r="F28" i="1"/>
  <c r="G28" i="1"/>
  <c r="C28" i="1"/>
  <c r="D22" i="1"/>
  <c r="E22" i="1"/>
  <c r="F22" i="1"/>
  <c r="G22" i="1"/>
  <c r="C22" i="1"/>
  <c r="D21" i="1"/>
  <c r="D23" i="1" s="1"/>
  <c r="E21" i="1"/>
  <c r="E23" i="1" s="1"/>
  <c r="F21" i="1"/>
  <c r="F23" i="1" s="1"/>
  <c r="G21" i="1"/>
  <c r="G23" i="1" s="1"/>
  <c r="C21" i="1"/>
  <c r="C23" i="1" s="1"/>
  <c r="C23" i="2" l="1"/>
  <c r="B45" i="2"/>
  <c r="G41" i="2"/>
  <c r="C37" i="1"/>
  <c r="C31" i="1"/>
  <c r="C25" i="1"/>
  <c r="G27" i="1"/>
  <c r="G25" i="1"/>
  <c r="G31" i="1" s="1"/>
  <c r="F27" i="1"/>
  <c r="F25" i="1"/>
  <c r="F31" i="1" s="1"/>
  <c r="E27" i="1"/>
  <c r="E25" i="1"/>
  <c r="E31" i="1" s="1"/>
  <c r="D27" i="1"/>
  <c r="D25" i="1"/>
  <c r="D31" i="1" s="1"/>
  <c r="F23" i="4"/>
  <c r="D30" i="4"/>
  <c r="C44" i="4"/>
  <c r="C30" i="4"/>
  <c r="E44" i="4"/>
  <c r="F30" i="4"/>
  <c r="D44" i="4"/>
  <c r="G30" i="4"/>
  <c r="G44" i="4"/>
  <c r="E30" i="4"/>
  <c r="C21" i="4"/>
  <c r="C23" i="4" s="1"/>
  <c r="G21" i="4"/>
  <c r="G23" i="4" s="1"/>
  <c r="D21" i="4"/>
  <c r="D23" i="4" s="1"/>
  <c r="E21" i="4"/>
  <c r="E23" i="4" s="1"/>
  <c r="F29" i="4"/>
  <c r="F37" i="4" s="1"/>
  <c r="G37" i="4"/>
  <c r="C29" i="4"/>
  <c r="C37" i="4" s="1"/>
  <c r="B39" i="4"/>
  <c r="D29" i="4"/>
  <c r="D37" i="4" s="1"/>
  <c r="C27" i="5"/>
  <c r="C25" i="5"/>
  <c r="D27" i="5"/>
  <c r="D25" i="5"/>
  <c r="D31" i="5" s="1"/>
  <c r="E27" i="5"/>
  <c r="E25" i="5"/>
  <c r="E31" i="5" s="1"/>
  <c r="F27" i="5"/>
  <c r="F25" i="5"/>
  <c r="F31" i="5" s="1"/>
  <c r="G27" i="5"/>
  <c r="G25" i="5"/>
  <c r="G31" i="5" s="1"/>
  <c r="G41" i="5"/>
  <c r="C26" i="4"/>
  <c r="C25" i="4"/>
  <c r="D26" i="4"/>
  <c r="D25" i="4"/>
  <c r="E26" i="4"/>
  <c r="E25" i="4"/>
  <c r="F26" i="4"/>
  <c r="F25" i="4"/>
  <c r="G26" i="4"/>
  <c r="G25" i="4"/>
  <c r="C25" i="2"/>
  <c r="C31" i="2" s="1"/>
  <c r="D27" i="2"/>
  <c r="D25" i="2"/>
  <c r="D31" i="2" s="1"/>
  <c r="E27" i="2"/>
  <c r="E25" i="2"/>
  <c r="E31" i="2" s="1"/>
  <c r="F27" i="2"/>
  <c r="F25" i="2"/>
  <c r="F31" i="2" s="1"/>
  <c r="G27" i="2"/>
  <c r="G25" i="2"/>
  <c r="G31" i="2" s="1"/>
  <c r="G32" i="1"/>
  <c r="G33" i="1" s="1"/>
  <c r="G36" i="1" s="1"/>
  <c r="G45" i="1" s="1"/>
  <c r="F32" i="1"/>
  <c r="F33" i="1" s="1"/>
  <c r="F36" i="1" s="1"/>
  <c r="F45" i="1" s="1"/>
  <c r="E32" i="1"/>
  <c r="E33" i="1" s="1"/>
  <c r="E36" i="1" s="1"/>
  <c r="E45" i="1" s="1"/>
  <c r="D32" i="1"/>
  <c r="D33" i="1" s="1"/>
  <c r="D36" i="1" s="1"/>
  <c r="D45" i="1" s="1"/>
  <c r="C32" i="1"/>
  <c r="C33" i="1" s="1"/>
  <c r="C36" i="1" s="1"/>
  <c r="C45" i="1" s="1"/>
  <c r="G41" i="4" l="1"/>
  <c r="C31" i="4"/>
  <c r="B48" i="1"/>
  <c r="B47" i="1"/>
  <c r="B45" i="4"/>
  <c r="F31" i="4"/>
  <c r="F32" i="4" s="1"/>
  <c r="F33" i="4" s="1"/>
  <c r="F36" i="4" s="1"/>
  <c r="F45" i="4" s="1"/>
  <c r="G31" i="4"/>
  <c r="G32" i="4" s="1"/>
  <c r="G33" i="4" s="1"/>
  <c r="G36" i="4" s="1"/>
  <c r="E31" i="4"/>
  <c r="E32" i="4" s="1"/>
  <c r="E33" i="4" s="1"/>
  <c r="E36" i="4" s="1"/>
  <c r="E45" i="4" s="1"/>
  <c r="D31" i="4"/>
  <c r="D32" i="4" s="1"/>
  <c r="D33" i="4" s="1"/>
  <c r="D36" i="4" s="1"/>
  <c r="D45" i="4" s="1"/>
  <c r="G32" i="5"/>
  <c r="G33" i="5" s="1"/>
  <c r="G36" i="5" s="1"/>
  <c r="G45" i="5" s="1"/>
  <c r="F32" i="5"/>
  <c r="F33" i="5" s="1"/>
  <c r="F36" i="5" s="1"/>
  <c r="F45" i="5" s="1"/>
  <c r="E32" i="5"/>
  <c r="E33" i="5" s="1"/>
  <c r="E36" i="5" s="1"/>
  <c r="E45" i="5" s="1"/>
  <c r="D32" i="5"/>
  <c r="D33" i="5" s="1"/>
  <c r="D36" i="5" s="1"/>
  <c r="D45" i="5" s="1"/>
  <c r="C32" i="5"/>
  <c r="C33" i="5" s="1"/>
  <c r="C36" i="5" s="1"/>
  <c r="C45" i="5" s="1"/>
  <c r="G32" i="2"/>
  <c r="G33" i="2" s="1"/>
  <c r="G36" i="2" s="1"/>
  <c r="G45" i="2" s="1"/>
  <c r="F32" i="2"/>
  <c r="F33" i="2" s="1"/>
  <c r="F36" i="2" s="1"/>
  <c r="F45" i="2" s="1"/>
  <c r="E32" i="2"/>
  <c r="E33" i="2" s="1"/>
  <c r="E36" i="2" s="1"/>
  <c r="E45" i="2" s="1"/>
  <c r="D32" i="2"/>
  <c r="D33" i="2" s="1"/>
  <c r="D36" i="2" s="1"/>
  <c r="D45" i="2" s="1"/>
  <c r="C32" i="2"/>
  <c r="C33" i="2" s="1"/>
  <c r="C36" i="2" s="1"/>
  <c r="C45" i="2" s="1"/>
  <c r="C32" i="4" l="1"/>
  <c r="C33" i="4" s="1"/>
  <c r="C36" i="4" s="1"/>
  <c r="C45" i="4" s="1"/>
  <c r="G45" i="4"/>
  <c r="B48" i="5"/>
  <c r="B47" i="5"/>
  <c r="B48" i="2"/>
  <c r="B47" i="2"/>
  <c r="B47" i="4" l="1"/>
  <c r="B48" i="4"/>
  <c r="M10" i="4" s="1"/>
</calcChain>
</file>

<file path=xl/sharedStrings.xml><?xml version="1.0" encoding="utf-8"?>
<sst xmlns="http://schemas.openxmlformats.org/spreadsheetml/2006/main" count="239" uniqueCount="72">
  <si>
    <t>Input Data (Base):</t>
  </si>
  <si>
    <t>Change %</t>
  </si>
  <si>
    <t>Initial investment</t>
  </si>
  <si>
    <t>Salvage ($)</t>
  </si>
  <si>
    <t>year (Demand)</t>
  </si>
  <si>
    <t>Demand - Units per year</t>
  </si>
  <si>
    <t>Unit price ($)</t>
  </si>
  <si>
    <t>per unit</t>
  </si>
  <si>
    <t>Labor cost ($)</t>
  </si>
  <si>
    <t>Material Cost ($)</t>
  </si>
  <si>
    <t>Fixed Cost ($)</t>
  </si>
  <si>
    <t>per year</t>
  </si>
  <si>
    <t>Tax Rate</t>
  </si>
  <si>
    <t>MARR</t>
  </si>
  <si>
    <t>Loan Principal ($)</t>
  </si>
  <si>
    <t>Loan interest rate</t>
  </si>
  <si>
    <t>7 Years MACRS</t>
  </si>
  <si>
    <t>income statement</t>
  </si>
  <si>
    <t>Revenues:</t>
  </si>
  <si>
    <t>Unit Price</t>
  </si>
  <si>
    <t>Demand (Units)</t>
  </si>
  <si>
    <t>Sales Revenue = Price * Demand</t>
  </si>
  <si>
    <t>Expenses:</t>
  </si>
  <si>
    <t>Annual labor = labor cost * demand</t>
  </si>
  <si>
    <t>Maintenance cost</t>
  </si>
  <si>
    <t>Annual material = Material Cost * demand</t>
  </si>
  <si>
    <t>Depreciation ($)</t>
  </si>
  <si>
    <t>Interest paid ($)</t>
  </si>
  <si>
    <t>Taxable income ($)</t>
  </si>
  <si>
    <t xml:space="preserve">Income taxes </t>
  </si>
  <si>
    <t>Net income</t>
  </si>
  <si>
    <t>Cash Flow statement</t>
  </si>
  <si>
    <t>operating activities:</t>
  </si>
  <si>
    <t>Investment Activities:</t>
  </si>
  <si>
    <t>Investment</t>
  </si>
  <si>
    <t>Gain tax</t>
  </si>
  <si>
    <t>Gain tax = Investment (gain)</t>
  </si>
  <si>
    <t>Financing Activities:</t>
  </si>
  <si>
    <t>gain = salvage value - book value</t>
  </si>
  <si>
    <t>Borrowed Funds</t>
  </si>
  <si>
    <t>Principal Repayment</t>
  </si>
  <si>
    <t>Net Cash Flow</t>
  </si>
  <si>
    <t>IRR=</t>
  </si>
  <si>
    <t>&gt; 20% (MARR)</t>
  </si>
  <si>
    <t>PW(20%)=</t>
  </si>
  <si>
    <t>&gt;0, so we accept</t>
  </si>
  <si>
    <t>Sensitivity analysis</t>
  </si>
  <si>
    <t>Net Present Value or PW</t>
  </si>
  <si>
    <t>% change</t>
  </si>
  <si>
    <t>Variables</t>
  </si>
  <si>
    <t>Range = Max - Min.</t>
  </si>
  <si>
    <t>Unit Price ($)</t>
  </si>
  <si>
    <t>Labor Cost ($)</t>
  </si>
  <si>
    <t>Break-even Point</t>
  </si>
  <si>
    <t>Initial Investment</t>
  </si>
  <si>
    <t>Purchasing cost</t>
  </si>
  <si>
    <t>installation cost</t>
  </si>
  <si>
    <t xml:space="preserve">number of machines </t>
  </si>
  <si>
    <t>Type 1</t>
  </si>
  <si>
    <t xml:space="preserve">Initial investment = </t>
  </si>
  <si>
    <t xml:space="preserve">Type 2 </t>
  </si>
  <si>
    <t>initial investment = (purchasing cost + installation cost)* number of machines</t>
  </si>
  <si>
    <t xml:space="preserve">Salvage = .3*(initial investment)*number of machines </t>
  </si>
  <si>
    <t xml:space="preserve"> = Type 1 salvage value</t>
  </si>
  <si>
    <t xml:space="preserve"> = Type 2 salvage value</t>
  </si>
  <si>
    <t>In order to find labor cost, we know that each worker 
earns $14 an hour, so we have to find out how much 
they earn in 3.45 minutes. We simply cross multiply to find out how much a worker earns in 3.45 minutes.</t>
  </si>
  <si>
    <t xml:space="preserve">14$ per hour 
---
60 minutes </t>
  </si>
  <si>
    <t>x unknown number
---
3.45 minutes</t>
  </si>
  <si>
    <t>14 * 3.45 = 60 * x</t>
  </si>
  <si>
    <t>4.83 = 60*x</t>
  </si>
  <si>
    <t>x = .81</t>
  </si>
  <si>
    <t>So we know that the
 labor cost is $.81 per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</si>
</sst>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8" fontId="0" fillId="0" borderId="1" xfId="0" applyNumberFormat="1" applyBorder="1"/>
    <xf numFmtId="0" fontId="0" fillId="0" borderId="2" xfId="0" applyBorder="1"/>
    <xf numFmtId="8" fontId="0" fillId="0" borderId="2" xfId="0" applyNumberFormat="1" applyBorder="1"/>
    <xf numFmtId="0" fontId="0" fillId="0" borderId="0" xfId="0" applyAlignment="1">
      <alignment horizontal="right"/>
    </xf>
    <xf numFmtId="44" fontId="0" fillId="0" borderId="1" xfId="0" applyNumberFormat="1" applyBorder="1"/>
    <xf numFmtId="44" fontId="0" fillId="0" borderId="2" xfId="0" applyNumberFormat="1" applyBorder="1"/>
    <xf numFmtId="9" fontId="0" fillId="4" borderId="0" xfId="0" applyNumberFormat="1" applyFill="1"/>
    <xf numFmtId="10" fontId="0" fillId="9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0" fillId="8" borderId="0" xfId="0" applyNumberFormat="1" applyFill="1"/>
    <xf numFmtId="0" fontId="0" fillId="0" borderId="3" xfId="0" applyBorder="1"/>
    <xf numFmtId="0" fontId="1" fillId="0" borderId="1" xfId="0" applyFont="1" applyBorder="1"/>
    <xf numFmtId="0" fontId="0" fillId="10" borderId="1" xfId="0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0" fontId="0" fillId="0" borderId="1" xfId="0" applyNumberFormat="1" applyBorder="1"/>
    <xf numFmtId="10" fontId="0" fillId="9" borderId="1" xfId="0" applyNumberFormat="1" applyFill="1" applyBorder="1"/>
    <xf numFmtId="164" fontId="0" fillId="0" borderId="2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44" fontId="0" fillId="0" borderId="1" xfId="1" applyFont="1" applyBorder="1"/>
    <xf numFmtId="44" fontId="0" fillId="0" borderId="0" xfId="0" applyNumberFormat="1"/>
    <xf numFmtId="164" fontId="3" fillId="5" borderId="1" xfId="0" applyNumberFormat="1" applyFont="1" applyFill="1" applyBorder="1"/>
    <xf numFmtId="0" fontId="3" fillId="10" borderId="1" xfId="0" applyFont="1" applyFill="1" applyBorder="1"/>
    <xf numFmtId="164" fontId="3" fillId="6" borderId="4" xfId="0" applyNumberFormat="1" applyFont="1" applyFill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7" borderId="8" xfId="0" applyFill="1" applyBorder="1"/>
    <xf numFmtId="0" fontId="0" fillId="7" borderId="10" xfId="0" applyFill="1" applyBorder="1"/>
    <xf numFmtId="0" fontId="0" fillId="7" borderId="15" xfId="0" applyFill="1" applyBorder="1" applyAlignment="1">
      <alignment wrapText="1"/>
    </xf>
    <xf numFmtId="0" fontId="0" fillId="7" borderId="7" xfId="0" applyFill="1" applyBorder="1"/>
    <xf numFmtId="0" fontId="0" fillId="7" borderId="12" xfId="0" applyFill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'Type 1 with loan'!$M$1</c:f>
              <c:strCache>
                <c:ptCount val="1"/>
                <c:pt idx="0">
                  <c:v>Net Present Value or PW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'Type 1 with loan'!$N$1:$V$1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1-4A59-A34E-F3A59F026A6D}"/>
            </c:ext>
          </c:extLst>
        </c:ser>
        <c:ser>
          <c:idx val="2"/>
          <c:order val="2"/>
          <c:tx>
            <c:strRef>
              <c:f>'Type 1 with loan'!$M$3</c:f>
              <c:strCache>
                <c:ptCount val="1"/>
                <c:pt idx="0">
                  <c:v>Initial investment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'Type 1 with loan'!$N$3:$V$3</c:f>
              <c:numCache>
                <c:formatCode>_("$"* #,##0.00_);_("$"* \(#,##0.00\);_("$"* "-"??_);_(@_)</c:formatCode>
                <c:ptCount val="9"/>
                <c:pt idx="0">
                  <c:v>22593.546492788089</c:v>
                </c:pt>
                <c:pt idx="1">
                  <c:v>20453.639005005163</c:v>
                </c:pt>
                <c:pt idx="2">
                  <c:v>18313.731517222252</c:v>
                </c:pt>
                <c:pt idx="3">
                  <c:v>16173.824029439325</c:v>
                </c:pt>
                <c:pt idx="4">
                  <c:v>14033.916541656399</c:v>
                </c:pt>
                <c:pt idx="5">
                  <c:v>11894.00905387348</c:v>
                </c:pt>
                <c:pt idx="6">
                  <c:v>9754.1015660905614</c:v>
                </c:pt>
                <c:pt idx="7">
                  <c:v>7614.1940783076498</c:v>
                </c:pt>
                <c:pt idx="8">
                  <c:v>5474.2865905247163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61-4A59-A34E-F3A59F026A6D}"/>
            </c:ext>
          </c:extLst>
        </c:ser>
        <c:ser>
          <c:idx val="3"/>
          <c:order val="3"/>
          <c:tx>
            <c:strRef>
              <c:f>'Type 1 with loan'!$M$4</c:f>
              <c:strCache>
                <c:ptCount val="1"/>
                <c:pt idx="0">
                  <c:v>Unit Price ($)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'Type 1 with loan'!$N$4:$V$4</c:f>
              <c:numCache>
                <c:formatCode>_("$"* #,##0.00_);_("$"* \(#,##0.00\);_("$"* "-"??_);_(@_)</c:formatCode>
                <c:ptCount val="9"/>
                <c:pt idx="0">
                  <c:v>-9853.4291373559245</c:v>
                </c:pt>
                <c:pt idx="1">
                  <c:v>-3881.592717602849</c:v>
                </c:pt>
                <c:pt idx="2">
                  <c:v>2090.2437021502483</c:v>
                </c:pt>
                <c:pt idx="3">
                  <c:v>8062.0801219033165</c:v>
                </c:pt>
                <c:pt idx="4">
                  <c:v>14033.916541656399</c:v>
                </c:pt>
                <c:pt idx="5">
                  <c:v>20005.752961409504</c:v>
                </c:pt>
                <c:pt idx="6">
                  <c:v>25977.589381162601</c:v>
                </c:pt>
                <c:pt idx="7">
                  <c:v>31949.425800915647</c:v>
                </c:pt>
                <c:pt idx="8">
                  <c:v>37921.262220668752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61-4A59-A34E-F3A59F026A6D}"/>
            </c:ext>
          </c:extLst>
        </c:ser>
        <c:ser>
          <c:idx val="4"/>
          <c:order val="4"/>
          <c:tx>
            <c:strRef>
              <c:f>'Type 1 with loan'!$M$5</c:f>
              <c:strCache>
                <c:ptCount val="1"/>
                <c:pt idx="0">
                  <c:v>Labor Cost ($)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'Type 1 with loan'!$N$5:$V$5</c:f>
              <c:numCache>
                <c:formatCode>_("$"* #,##0.00_);_("$"* \(#,##0.00\);_("$"* "-"??_);_(@_)</c:formatCode>
                <c:ptCount val="9"/>
                <c:pt idx="0">
                  <c:v>20080.400916656399</c:v>
                </c:pt>
                <c:pt idx="1">
                  <c:v>18568.779822906399</c:v>
                </c:pt>
                <c:pt idx="2">
                  <c:v>17057.158729156399</c:v>
                </c:pt>
                <c:pt idx="3">
                  <c:v>15545.537635406399</c:v>
                </c:pt>
                <c:pt idx="4">
                  <c:v>14033.916541656399</c:v>
                </c:pt>
                <c:pt idx="5">
                  <c:v>12522.295447906399</c:v>
                </c:pt>
                <c:pt idx="6">
                  <c:v>11010.674354156399</c:v>
                </c:pt>
                <c:pt idx="7">
                  <c:v>9499.0532604063992</c:v>
                </c:pt>
                <c:pt idx="8">
                  <c:v>7987.4321666563992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61-4A59-A34E-F3A59F026A6D}"/>
            </c:ext>
          </c:extLst>
        </c:ser>
        <c:ser>
          <c:idx val="5"/>
          <c:order val="5"/>
          <c:tx>
            <c:strRef>
              <c:f>'Type 1 with loan'!$M$6</c:f>
              <c:strCache>
                <c:ptCount val="1"/>
                <c:pt idx="0">
                  <c:v>Material Cost ($)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'Type 1 with loan'!$N$6:$V$6</c:f>
              <c:numCache>
                <c:formatCode>_("$"* #,##0.00_);_("$"* \(#,##0.00\);_("$"* "-"??_);_(@_)</c:formatCode>
                <c:ptCount val="9"/>
                <c:pt idx="0">
                  <c:v>17019.834751532944</c:v>
                </c:pt>
                <c:pt idx="1">
                  <c:v>16273.355199063808</c:v>
                </c:pt>
                <c:pt idx="2">
                  <c:v>15526.875646594672</c:v>
                </c:pt>
                <c:pt idx="3">
                  <c:v>14780.396094125535</c:v>
                </c:pt>
                <c:pt idx="4">
                  <c:v>14033.916541656399</c:v>
                </c:pt>
                <c:pt idx="5">
                  <c:v>13287.436989187263</c:v>
                </c:pt>
                <c:pt idx="6">
                  <c:v>12540.957436718134</c:v>
                </c:pt>
                <c:pt idx="7">
                  <c:v>11794.47788424899</c:v>
                </c:pt>
                <c:pt idx="8">
                  <c:v>11047.998331779861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61-4A59-A34E-F3A59F026A6D}"/>
            </c:ext>
          </c:extLst>
        </c:ser>
        <c:ser>
          <c:idx val="6"/>
          <c:order val="6"/>
          <c:tx>
            <c:strRef>
              <c:f>'Type 1 with loan'!$M$7</c:f>
              <c:strCache>
                <c:ptCount val="1"/>
                <c:pt idx="0">
                  <c:v>Loan interest rate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'Type 1 with loan'!$N$7:$V$7</c:f>
              <c:numCache>
                <c:formatCode>_("$"* #,##0.00_);_("$"* \(#,##0.00\);_("$"* "-"??_);_(@_)</c:formatCode>
                <c:ptCount val="9"/>
                <c:pt idx="0">
                  <c:v>14230.400650855139</c:v>
                </c:pt>
                <c:pt idx="1">
                  <c:v>14181.589393188202</c:v>
                </c:pt>
                <c:pt idx="2">
                  <c:v>14132.57083212673</c:v>
                </c:pt>
                <c:pt idx="3">
                  <c:v>14083.34615306108</c:v>
                </c:pt>
                <c:pt idx="4">
                  <c:v>14033.916541656399</c:v>
                </c:pt>
                <c:pt idx="5">
                  <c:v>13984.283183680847</c:v>
                </c:pt>
                <c:pt idx="6">
                  <c:v>13934.447264836883</c:v>
                </c:pt>
                <c:pt idx="7">
                  <c:v>13884.409970596127</c:v>
                </c:pt>
                <c:pt idx="8">
                  <c:v>13834.172486037452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61-4A59-A34E-F3A59F026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181695"/>
        <c:axId val="18631804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'Type 1 with loan'!$M$2</c15:sqref>
                        </c15:formulaRef>
                      </c:ext>
                    </c:extLst>
                    <c:strCache>
                      <c:ptCount val="1"/>
                      <c:pt idx="0">
                        <c:v>Variables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'Type 1 with loan'!$N$2:$V$2</c15:sqref>
                        </c15:formulaRef>
                      </c:ext>
                    </c:extLst>
                    <c:numCache>
                      <c:formatCode>0.00%</c:formatCode>
                      <c:ptCount val="9"/>
                      <c:pt idx="0">
                        <c:v>-0.2</c:v>
                      </c:pt>
                      <c:pt idx="1">
                        <c:v>-0.15000000000000002</c:v>
                      </c:pt>
                      <c:pt idx="2">
                        <c:v>-0.10000000000000002</c:v>
                      </c:pt>
                      <c:pt idx="3">
                        <c:v>-5.0000000000000017E-2</c:v>
                      </c:pt>
                      <c:pt idx="4">
                        <c:v>0</c:v>
                      </c:pt>
                      <c:pt idx="5">
                        <c:v>0.05</c:v>
                      </c:pt>
                      <c:pt idx="6">
                        <c:v>0.1</c:v>
                      </c:pt>
                      <c:pt idx="7">
                        <c:v>0.15000000000000002</c:v>
                      </c:pt>
                      <c:pt idx="8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F61-4A59-A34E-F3A59F026A6D}"/>
                  </c:ext>
                </c:extLst>
              </c15:ser>
            </c15:filteredLineSeries>
          </c:ext>
        </c:extLst>
      </c:lineChart>
      <c:catAx>
        <c:axId val="1863181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80447"/>
        <c:crosses val="autoZero"/>
        <c:auto val="1"/>
        <c:lblAlgn val="ctr"/>
        <c:lblOffset val="100"/>
        <c:noMultiLvlLbl val="0"/>
      </c:catAx>
      <c:valAx>
        <c:axId val="186318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8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1 with loan'!$M$3:$M$7</c:f>
              <c:strCache>
                <c:ptCount val="5"/>
                <c:pt idx="0">
                  <c:v>Initial investment</c:v>
                </c:pt>
                <c:pt idx="1">
                  <c:v>Unit Price ($)</c:v>
                </c:pt>
                <c:pt idx="2">
                  <c:v>Labor Cost ($)</c:v>
                </c:pt>
                <c:pt idx="3">
                  <c:v>Material Cost ($)</c:v>
                </c:pt>
                <c:pt idx="4">
                  <c:v>Loan interest rate</c:v>
                </c:pt>
              </c:strCache>
            </c:strRef>
          </c:cat>
          <c:val>
            <c:numRef>
              <c:f>'Type 1 with loan'!$W$3:$W$7</c:f>
              <c:numCache>
                <c:formatCode>_("$"* #,##0.00_);_("$"* \(#,##0.00\);_("$"* "-"??_);_(@_)</c:formatCode>
                <c:ptCount val="5"/>
                <c:pt idx="0">
                  <c:v>17119.259902263373</c:v>
                </c:pt>
                <c:pt idx="1">
                  <c:v>47774.691358024676</c:v>
                </c:pt>
                <c:pt idx="2">
                  <c:v>12092.96875</c:v>
                </c:pt>
                <c:pt idx="3">
                  <c:v>5971.8364197530827</c:v>
                </c:pt>
                <c:pt idx="4">
                  <c:v>396.22816481768677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4-43F5-A98C-826E6FCC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207663"/>
        <c:axId val="1861212239"/>
      </c:barChart>
      <c:catAx>
        <c:axId val="186120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212239"/>
        <c:crosses val="autoZero"/>
        <c:auto val="1"/>
        <c:lblAlgn val="ctr"/>
        <c:lblOffset val="100"/>
        <c:noMultiLvlLbl val="0"/>
      </c:catAx>
      <c:valAx>
        <c:axId val="186121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20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876300</xdr:colOff>
      <xdr:row>10</xdr:row>
      <xdr:rowOff>128587</xdr:rowOff>
    </xdr:from>
    <xdr:to>
      <xdr:col>22</xdr:col>
      <xdr:colOff>19050</xdr:colOff>
      <xdr:row>33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10EF4E-5978-45F4-B2A2-F04A5A5C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123825</xdr:colOff>
      <xdr:row>2</xdr:row>
      <xdr:rowOff>42862</xdr:rowOff>
    </xdr:from>
    <xdr:to>
      <xdr:col>28</xdr:col>
      <xdr:colOff>323850</xdr:colOff>
      <xdr:row>16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36227D-FB53-4DCF-A65A-0335C921E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J31" sqref="J31"/>
    </sheetView>
  </sheetViews>
  <sheetFormatPr defaultRowHeight="14.5" x14ac:dyDescent="0.35"/>
  <cols>
    <col min="1" max="1" width="39" bestFit="1" customWidth="1"/>
    <col min="2" max="2" width="12.26953125" bestFit="1" customWidth="1"/>
    <col min="3" max="3" width="15.7265625" bestFit="1" customWidth="1"/>
    <col min="4" max="7" width="11.81640625" bestFit="1" customWidth="1"/>
    <col min="9" max="9" width="30.26953125" bestFit="1" customWidth="1"/>
  </cols>
  <sheetData>
    <row r="1" spans="1:8" x14ac:dyDescent="0.35">
      <c r="A1" s="1" t="s">
        <v>0</v>
      </c>
      <c r="B1" s="1"/>
    </row>
    <row r="2" spans="1:8" x14ac:dyDescent="0.35">
      <c r="E2" t="s">
        <v>1</v>
      </c>
    </row>
    <row r="3" spans="1:8" x14ac:dyDescent="0.35">
      <c r="A3" t="s">
        <v>2</v>
      </c>
      <c r="B3" s="3">
        <v>50000</v>
      </c>
      <c r="E3" s="2"/>
    </row>
    <row r="4" spans="1:8" x14ac:dyDescent="0.35">
      <c r="A4" t="s">
        <v>3</v>
      </c>
      <c r="B4" s="3">
        <v>13800</v>
      </c>
      <c r="E4" s="2"/>
    </row>
    <row r="5" spans="1:8" x14ac:dyDescent="0.35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</row>
    <row r="6" spans="1:8" x14ac:dyDescent="0.35">
      <c r="A6" t="s">
        <v>5</v>
      </c>
      <c r="B6">
        <v>15000</v>
      </c>
      <c r="C6">
        <v>16000</v>
      </c>
      <c r="D6">
        <v>17000</v>
      </c>
      <c r="E6">
        <v>18000</v>
      </c>
      <c r="F6">
        <v>19000</v>
      </c>
    </row>
    <row r="7" spans="1:8" x14ac:dyDescent="0.35">
      <c r="A7" t="s">
        <v>6</v>
      </c>
      <c r="B7" s="3">
        <v>3.2</v>
      </c>
      <c r="C7" t="s">
        <v>7</v>
      </c>
      <c r="E7" s="2"/>
    </row>
    <row r="8" spans="1:8" x14ac:dyDescent="0.35">
      <c r="A8" t="s">
        <v>8</v>
      </c>
      <c r="B8" s="3">
        <v>0.81</v>
      </c>
      <c r="C8" t="s">
        <v>7</v>
      </c>
      <c r="E8" s="2"/>
    </row>
    <row r="9" spans="1:8" x14ac:dyDescent="0.35">
      <c r="A9" t="s">
        <v>9</v>
      </c>
      <c r="B9" s="3">
        <v>0.4</v>
      </c>
      <c r="C9" t="s">
        <v>7</v>
      </c>
      <c r="E9" s="2"/>
    </row>
    <row r="10" spans="1:8" x14ac:dyDescent="0.35">
      <c r="A10" t="s">
        <v>10</v>
      </c>
      <c r="B10" s="3">
        <v>6000</v>
      </c>
      <c r="C10" t="s">
        <v>11</v>
      </c>
      <c r="E10" s="2"/>
    </row>
    <row r="11" spans="1:8" x14ac:dyDescent="0.35">
      <c r="A11" t="s">
        <v>12</v>
      </c>
      <c r="B11" s="2">
        <v>0.25</v>
      </c>
      <c r="E11" s="2"/>
    </row>
    <row r="12" spans="1:8" x14ac:dyDescent="0.35">
      <c r="A12" t="s">
        <v>13</v>
      </c>
      <c r="B12" s="2">
        <v>0.2</v>
      </c>
    </row>
    <row r="13" spans="1:8" x14ac:dyDescent="0.35">
      <c r="A13" t="s">
        <v>14</v>
      </c>
      <c r="B13" s="3"/>
    </row>
    <row r="14" spans="1:8" x14ac:dyDescent="0.35">
      <c r="A14" t="s">
        <v>15</v>
      </c>
      <c r="B14" s="2"/>
    </row>
    <row r="16" spans="1:8" x14ac:dyDescent="0.35">
      <c r="A16" t="s">
        <v>16</v>
      </c>
      <c r="B16" s="2">
        <v>0.1429</v>
      </c>
      <c r="C16" s="2">
        <v>0.24490000000000001</v>
      </c>
      <c r="D16" s="2">
        <v>0.1749</v>
      </c>
      <c r="E16" s="2">
        <v>0.1249</v>
      </c>
      <c r="F16" s="2">
        <v>8.9300000000000004E-2</v>
      </c>
      <c r="G16" s="2"/>
      <c r="H16" s="2"/>
    </row>
    <row r="18" spans="1:7" x14ac:dyDescent="0.35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</row>
    <row r="19" spans="1:7" x14ac:dyDescent="0.35">
      <c r="A19" s="5" t="s">
        <v>17</v>
      </c>
      <c r="B19" s="6"/>
      <c r="C19" s="6"/>
      <c r="D19" s="6"/>
      <c r="E19" s="6"/>
      <c r="F19" s="6"/>
      <c r="G19" s="6"/>
    </row>
    <row r="20" spans="1:7" x14ac:dyDescent="0.35">
      <c r="A20" s="7" t="s">
        <v>18</v>
      </c>
      <c r="B20" s="7"/>
      <c r="C20" s="7"/>
      <c r="D20" s="7"/>
      <c r="E20" s="7"/>
      <c r="F20" s="7"/>
      <c r="G20" s="7"/>
    </row>
    <row r="21" spans="1:7" x14ac:dyDescent="0.35">
      <c r="A21" s="4" t="s">
        <v>19</v>
      </c>
      <c r="B21" s="4"/>
      <c r="C21" s="9">
        <f>$B$7</f>
        <v>3.2</v>
      </c>
      <c r="D21" s="9">
        <f t="shared" ref="D21:G21" si="0">$B$7</f>
        <v>3.2</v>
      </c>
      <c r="E21" s="9">
        <f t="shared" si="0"/>
        <v>3.2</v>
      </c>
      <c r="F21" s="9">
        <f t="shared" si="0"/>
        <v>3.2</v>
      </c>
      <c r="G21" s="9">
        <f t="shared" si="0"/>
        <v>3.2</v>
      </c>
    </row>
    <row r="22" spans="1:7" x14ac:dyDescent="0.35">
      <c r="A22" s="4" t="s">
        <v>20</v>
      </c>
      <c r="B22" s="4"/>
      <c r="C22" s="4">
        <f>B6</f>
        <v>15000</v>
      </c>
      <c r="D22" s="4">
        <f t="shared" ref="D22:G22" si="1">C6</f>
        <v>16000</v>
      </c>
      <c r="E22" s="4">
        <f t="shared" si="1"/>
        <v>17000</v>
      </c>
      <c r="F22" s="4">
        <f t="shared" si="1"/>
        <v>18000</v>
      </c>
      <c r="G22" s="4">
        <f t="shared" si="1"/>
        <v>19000</v>
      </c>
    </row>
    <row r="23" spans="1:7" x14ac:dyDescent="0.35">
      <c r="A23" s="4" t="s">
        <v>21</v>
      </c>
      <c r="B23" s="4"/>
      <c r="C23" s="9">
        <f>C21*C22</f>
        <v>48000</v>
      </c>
      <c r="D23" s="9">
        <f>D21*D22</f>
        <v>51200</v>
      </c>
      <c r="E23" s="9">
        <f t="shared" ref="E23" si="2">E21*E22</f>
        <v>54400</v>
      </c>
      <c r="F23" s="9">
        <f>F21*F22</f>
        <v>57600</v>
      </c>
      <c r="G23" s="9">
        <f>G21*G22</f>
        <v>60800</v>
      </c>
    </row>
    <row r="24" spans="1:7" x14ac:dyDescent="0.35">
      <c r="A24" s="7" t="s">
        <v>22</v>
      </c>
      <c r="B24" s="7"/>
      <c r="C24" s="7"/>
      <c r="D24" s="7"/>
      <c r="E24" s="7"/>
      <c r="F24" s="7"/>
      <c r="G24" s="7"/>
    </row>
    <row r="25" spans="1:7" x14ac:dyDescent="0.35">
      <c r="A25" s="4" t="s">
        <v>23</v>
      </c>
      <c r="B25" s="4"/>
      <c r="C25" s="9">
        <f>$B$8*C22</f>
        <v>12150</v>
      </c>
      <c r="D25" s="9">
        <f t="shared" ref="D25:G25" si="3">$B$8*D22</f>
        <v>12960</v>
      </c>
      <c r="E25" s="9">
        <f t="shared" si="3"/>
        <v>13770</v>
      </c>
      <c r="F25" s="9">
        <f t="shared" si="3"/>
        <v>14580.000000000002</v>
      </c>
      <c r="G25" s="9">
        <f t="shared" si="3"/>
        <v>15390.000000000002</v>
      </c>
    </row>
    <row r="26" spans="1:7" x14ac:dyDescent="0.35">
      <c r="A26" s="4" t="s">
        <v>24</v>
      </c>
      <c r="B26" s="4"/>
      <c r="C26" s="9">
        <v>5000</v>
      </c>
      <c r="D26" s="9">
        <v>5000</v>
      </c>
      <c r="E26" s="9">
        <v>5000</v>
      </c>
      <c r="F26" s="9">
        <v>5000</v>
      </c>
      <c r="G26" s="9">
        <v>5000</v>
      </c>
    </row>
    <row r="27" spans="1:7" x14ac:dyDescent="0.35">
      <c r="A27" s="4" t="s">
        <v>25</v>
      </c>
      <c r="B27" s="4"/>
      <c r="C27" s="9">
        <f>$B$9*C22</f>
        <v>6000</v>
      </c>
      <c r="D27" s="9">
        <f t="shared" ref="D27:G27" si="4">$B$9*D22</f>
        <v>6400</v>
      </c>
      <c r="E27" s="9">
        <f t="shared" si="4"/>
        <v>6800</v>
      </c>
      <c r="F27" s="9">
        <f t="shared" si="4"/>
        <v>7200</v>
      </c>
      <c r="G27" s="9">
        <f t="shared" si="4"/>
        <v>7600</v>
      </c>
    </row>
    <row r="28" spans="1:7" x14ac:dyDescent="0.35">
      <c r="A28" s="4" t="s">
        <v>10</v>
      </c>
      <c r="B28" s="4"/>
      <c r="C28" s="9">
        <f>$B$10</f>
        <v>6000</v>
      </c>
      <c r="D28" s="9">
        <f t="shared" ref="D28:G28" si="5">$B$10</f>
        <v>6000</v>
      </c>
      <c r="E28" s="9">
        <f t="shared" si="5"/>
        <v>6000</v>
      </c>
      <c r="F28" s="9">
        <f t="shared" si="5"/>
        <v>6000</v>
      </c>
      <c r="G28" s="9">
        <f t="shared" si="5"/>
        <v>6000</v>
      </c>
    </row>
    <row r="29" spans="1:7" x14ac:dyDescent="0.35">
      <c r="A29" s="4" t="s">
        <v>26</v>
      </c>
      <c r="B29" s="4"/>
      <c r="C29" s="9">
        <f>$B$3*B16</f>
        <v>7145</v>
      </c>
      <c r="D29" s="9">
        <f t="shared" ref="D29:F29" si="6">$B$3*C16</f>
        <v>12245</v>
      </c>
      <c r="E29" s="9">
        <f t="shared" si="6"/>
        <v>8745</v>
      </c>
      <c r="F29" s="9">
        <f t="shared" si="6"/>
        <v>6245</v>
      </c>
      <c r="G29" s="9">
        <f>$B$3*(F16/2)</f>
        <v>2232.5</v>
      </c>
    </row>
    <row r="30" spans="1:7" x14ac:dyDescent="0.35">
      <c r="A30" s="4" t="s">
        <v>27</v>
      </c>
      <c r="B30" s="4"/>
      <c r="C30" s="11">
        <f>IPMT($B$14,C18,$G$18,$B$13)</f>
        <v>0</v>
      </c>
      <c r="D30" s="11">
        <f>IPMT($B$14,D18,$G$18,$B$13)</f>
        <v>0</v>
      </c>
      <c r="E30" s="11">
        <f t="shared" ref="E30:G30" si="7">IPMT($B$14,E18,$G$18,$B$13)</f>
        <v>0</v>
      </c>
      <c r="F30" s="11">
        <f t="shared" si="7"/>
        <v>0</v>
      </c>
      <c r="G30" s="11">
        <f t="shared" si="7"/>
        <v>0</v>
      </c>
    </row>
    <row r="31" spans="1:7" x14ac:dyDescent="0.35">
      <c r="A31" s="4" t="s">
        <v>28</v>
      </c>
      <c r="B31" s="4"/>
      <c r="C31" s="9">
        <f>C23-SUM(C25:C30)</f>
        <v>11705</v>
      </c>
      <c r="D31" s="9">
        <f>D23-SUM(D25:D30)</f>
        <v>8595</v>
      </c>
      <c r="E31" s="9">
        <f t="shared" ref="E31:G31" si="8">E23-SUM(E25:E30)</f>
        <v>14085</v>
      </c>
      <c r="F31" s="9">
        <f t="shared" si="8"/>
        <v>18575</v>
      </c>
      <c r="G31" s="9">
        <f t="shared" si="8"/>
        <v>24577.5</v>
      </c>
    </row>
    <row r="32" spans="1:7" x14ac:dyDescent="0.35">
      <c r="A32" s="4" t="s">
        <v>29</v>
      </c>
      <c r="B32" s="4"/>
      <c r="C32" s="9">
        <f>C31*$B$11</f>
        <v>2926.25</v>
      </c>
      <c r="D32" s="9">
        <f t="shared" ref="D32:G32" si="9">D31*$B$11</f>
        <v>2148.75</v>
      </c>
      <c r="E32" s="9">
        <f t="shared" si="9"/>
        <v>3521.25</v>
      </c>
      <c r="F32" s="9">
        <f t="shared" si="9"/>
        <v>4643.75</v>
      </c>
      <c r="G32" s="9">
        <f t="shared" si="9"/>
        <v>6144.375</v>
      </c>
    </row>
    <row r="33" spans="1:9" x14ac:dyDescent="0.35">
      <c r="A33" s="8" t="s">
        <v>30</v>
      </c>
      <c r="B33" s="8"/>
      <c r="C33" s="10">
        <f>C31-C32</f>
        <v>8778.75</v>
      </c>
      <c r="D33" s="10">
        <f t="shared" ref="D33:G33" si="10">D31-D32</f>
        <v>6446.25</v>
      </c>
      <c r="E33" s="10">
        <f t="shared" si="10"/>
        <v>10563.75</v>
      </c>
      <c r="F33" s="10">
        <f t="shared" si="10"/>
        <v>13931.25</v>
      </c>
      <c r="G33" s="10">
        <f t="shared" si="10"/>
        <v>18433.125</v>
      </c>
    </row>
    <row r="34" spans="1:9" x14ac:dyDescent="0.35">
      <c r="A34" s="5" t="s">
        <v>31</v>
      </c>
      <c r="B34" s="6"/>
      <c r="C34" s="6"/>
      <c r="D34" s="6"/>
      <c r="E34" s="6"/>
      <c r="F34" s="6"/>
      <c r="G34" s="6"/>
    </row>
    <row r="35" spans="1:9" x14ac:dyDescent="0.35">
      <c r="A35" s="7" t="s">
        <v>32</v>
      </c>
      <c r="B35" s="7"/>
      <c r="C35" s="7"/>
      <c r="D35" s="7"/>
      <c r="E35" s="7"/>
      <c r="F35" s="7"/>
      <c r="G35" s="7"/>
    </row>
    <row r="36" spans="1:9" x14ac:dyDescent="0.35">
      <c r="A36" s="4" t="s">
        <v>30</v>
      </c>
      <c r="B36" s="4"/>
      <c r="C36" s="9">
        <f>C33</f>
        <v>8778.75</v>
      </c>
      <c r="D36" s="9">
        <f t="shared" ref="D36:G36" si="11">D33</f>
        <v>6446.25</v>
      </c>
      <c r="E36" s="9">
        <f t="shared" si="11"/>
        <v>10563.75</v>
      </c>
      <c r="F36" s="9">
        <f t="shared" si="11"/>
        <v>13931.25</v>
      </c>
      <c r="G36" s="9">
        <f t="shared" si="11"/>
        <v>18433.125</v>
      </c>
    </row>
    <row r="37" spans="1:9" x14ac:dyDescent="0.35">
      <c r="A37" s="4" t="s">
        <v>26</v>
      </c>
      <c r="B37" s="4"/>
      <c r="C37" s="9">
        <f>C29</f>
        <v>7145</v>
      </c>
      <c r="D37" s="9">
        <f t="shared" ref="D37:G37" si="12">D29</f>
        <v>12245</v>
      </c>
      <c r="E37" s="9">
        <f t="shared" si="12"/>
        <v>8745</v>
      </c>
      <c r="F37" s="9">
        <f t="shared" si="12"/>
        <v>6245</v>
      </c>
      <c r="G37" s="9">
        <f t="shared" si="12"/>
        <v>2232.5</v>
      </c>
    </row>
    <row r="38" spans="1:9" x14ac:dyDescent="0.35">
      <c r="A38" s="7" t="s">
        <v>33</v>
      </c>
      <c r="B38" s="7"/>
      <c r="C38" s="7"/>
      <c r="D38" s="7"/>
      <c r="E38" s="7"/>
      <c r="F38" s="7"/>
      <c r="G38" s="7"/>
    </row>
    <row r="39" spans="1:9" x14ac:dyDescent="0.35">
      <c r="A39" s="4" t="s">
        <v>34</v>
      </c>
      <c r="B39" s="9">
        <f>B3</f>
        <v>50000</v>
      </c>
      <c r="C39" s="4"/>
      <c r="D39" s="4"/>
      <c r="E39" s="4"/>
      <c r="F39" s="4"/>
      <c r="G39" s="4"/>
    </row>
    <row r="40" spans="1:9" x14ac:dyDescent="0.35">
      <c r="A40" s="4" t="s">
        <v>3</v>
      </c>
      <c r="B40" s="4"/>
      <c r="C40" s="4"/>
      <c r="D40" s="4"/>
      <c r="E40" s="4"/>
      <c r="F40" s="4"/>
      <c r="G40" s="9">
        <f>B4</f>
        <v>13800</v>
      </c>
    </row>
    <row r="41" spans="1:9" x14ac:dyDescent="0.35">
      <c r="A41" s="4" t="s">
        <v>35</v>
      </c>
      <c r="B41" s="4"/>
      <c r="C41" s="4"/>
      <c r="D41" s="4"/>
      <c r="E41" s="4"/>
      <c r="F41" s="4"/>
      <c r="G41" s="9">
        <f>B11*(G40-(B39-SUM(C29:G29)))</f>
        <v>103.125</v>
      </c>
      <c r="I41" t="s">
        <v>36</v>
      </c>
    </row>
    <row r="42" spans="1:9" x14ac:dyDescent="0.35">
      <c r="A42" s="7" t="s">
        <v>37</v>
      </c>
      <c r="B42" s="7"/>
      <c r="C42" s="7"/>
      <c r="D42" s="7"/>
      <c r="E42" s="7"/>
      <c r="F42" s="7"/>
      <c r="G42" s="7"/>
      <c r="I42" t="s">
        <v>38</v>
      </c>
    </row>
    <row r="43" spans="1:9" x14ac:dyDescent="0.35">
      <c r="A43" s="4" t="s">
        <v>39</v>
      </c>
      <c r="B43" s="9">
        <f>B13</f>
        <v>0</v>
      </c>
      <c r="C43" s="4"/>
      <c r="D43" s="4"/>
      <c r="E43" s="4"/>
      <c r="F43" s="4"/>
      <c r="G43" s="4"/>
    </row>
    <row r="44" spans="1:9" x14ac:dyDescent="0.35">
      <c r="A44" s="12" t="s">
        <v>40</v>
      </c>
      <c r="B44" s="13"/>
      <c r="C44" s="13">
        <f>PPMT($B$14,C18,$G$18,$B$13)</f>
        <v>0</v>
      </c>
      <c r="D44" s="13">
        <f t="shared" ref="D44:G44" si="13">PPMT($B$14,D18,$G$18,$B$13)</f>
        <v>0</v>
      </c>
      <c r="E44" s="13">
        <f>PPMT($B$14,E18,$G$18,$B$13)</f>
        <v>0</v>
      </c>
      <c r="F44" s="13">
        <f t="shared" si="13"/>
        <v>0</v>
      </c>
      <c r="G44" s="13">
        <f t="shared" si="13"/>
        <v>0</v>
      </c>
    </row>
    <row r="45" spans="1:9" x14ac:dyDescent="0.35">
      <c r="A45" s="8" t="s">
        <v>41</v>
      </c>
      <c r="B45" s="10">
        <f>B36+B37-B39+B40-B41+B43-B44</f>
        <v>-50000</v>
      </c>
      <c r="C45" s="10">
        <f t="shared" ref="C45:G45" si="14">C36+C37-C39+C40-C41+C43-C44</f>
        <v>15923.75</v>
      </c>
      <c r="D45" s="10">
        <f t="shared" si="14"/>
        <v>18691.25</v>
      </c>
      <c r="E45" s="10">
        <f t="shared" si="14"/>
        <v>19308.75</v>
      </c>
      <c r="F45" s="10">
        <f t="shared" si="14"/>
        <v>20176.25</v>
      </c>
      <c r="G45" s="10">
        <f t="shared" si="14"/>
        <v>34362.5</v>
      </c>
    </row>
    <row r="47" spans="1:9" x14ac:dyDescent="0.35">
      <c r="A47" s="14" t="s">
        <v>42</v>
      </c>
      <c r="B47" s="17">
        <f>IRR(B45:G45)</f>
        <v>0.28517689503683696</v>
      </c>
      <c r="C47" t="s">
        <v>43</v>
      </c>
    </row>
    <row r="48" spans="1:9" x14ac:dyDescent="0.35">
      <c r="A48" s="14" t="s">
        <v>44</v>
      </c>
      <c r="B48" s="3">
        <f>NPV(B12,C45:G45)+B45</f>
        <v>10963.44843106997</v>
      </c>
      <c r="C4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44FD-8427-462A-92B1-C91466D03014}">
  <dimension ref="A1:I48"/>
  <sheetViews>
    <sheetView topLeftCell="A31" workbookViewId="0">
      <selection activeCell="B47" sqref="B47"/>
    </sheetView>
  </sheetViews>
  <sheetFormatPr defaultRowHeight="14.5" x14ac:dyDescent="0.35"/>
  <cols>
    <col min="1" max="1" width="39" bestFit="1" customWidth="1"/>
    <col min="2" max="2" width="11.81640625" bestFit="1" customWidth="1"/>
    <col min="3" max="3" width="15.7265625" bestFit="1" customWidth="1"/>
    <col min="4" max="7" width="11.81640625" bestFit="1" customWidth="1"/>
    <col min="9" max="9" width="30.26953125" bestFit="1" customWidth="1"/>
  </cols>
  <sheetData>
    <row r="1" spans="1:8" x14ac:dyDescent="0.35">
      <c r="A1" s="1" t="s">
        <v>0</v>
      </c>
      <c r="B1" s="1"/>
    </row>
    <row r="2" spans="1:8" x14ac:dyDescent="0.35">
      <c r="E2" t="s">
        <v>1</v>
      </c>
    </row>
    <row r="3" spans="1:8" x14ac:dyDescent="0.35">
      <c r="A3" t="s">
        <v>2</v>
      </c>
      <c r="B3" s="3">
        <v>51000</v>
      </c>
      <c r="E3" s="2"/>
    </row>
    <row r="4" spans="1:8" x14ac:dyDescent="0.35">
      <c r="A4" t="s">
        <v>3</v>
      </c>
      <c r="B4" s="3">
        <v>13500</v>
      </c>
      <c r="E4" s="2"/>
    </row>
    <row r="5" spans="1:8" x14ac:dyDescent="0.35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</row>
    <row r="6" spans="1:8" x14ac:dyDescent="0.35">
      <c r="A6" t="s">
        <v>5</v>
      </c>
      <c r="B6">
        <v>15000</v>
      </c>
      <c r="C6">
        <v>16000</v>
      </c>
      <c r="D6">
        <v>17000</v>
      </c>
      <c r="E6">
        <v>18000</v>
      </c>
      <c r="F6">
        <v>19000</v>
      </c>
    </row>
    <row r="7" spans="1:8" x14ac:dyDescent="0.35">
      <c r="A7" t="s">
        <v>6</v>
      </c>
      <c r="B7" s="3">
        <v>3.2</v>
      </c>
      <c r="C7" t="s">
        <v>7</v>
      </c>
      <c r="E7" s="2"/>
    </row>
    <row r="8" spans="1:8" x14ac:dyDescent="0.35">
      <c r="A8" t="s">
        <v>8</v>
      </c>
      <c r="B8" s="3">
        <v>0.81</v>
      </c>
      <c r="C8" t="s">
        <v>7</v>
      </c>
      <c r="E8" s="2"/>
    </row>
    <row r="9" spans="1:8" x14ac:dyDescent="0.35">
      <c r="A9" t="s">
        <v>9</v>
      </c>
      <c r="B9" s="3">
        <v>0.4</v>
      </c>
      <c r="C9" t="s">
        <v>7</v>
      </c>
      <c r="E9" s="2"/>
    </row>
    <row r="10" spans="1:8" x14ac:dyDescent="0.35">
      <c r="A10" t="s">
        <v>10</v>
      </c>
      <c r="B10" s="3">
        <v>6000</v>
      </c>
      <c r="C10" t="s">
        <v>11</v>
      </c>
      <c r="E10" s="2"/>
    </row>
    <row r="11" spans="1:8" x14ac:dyDescent="0.35">
      <c r="A11" t="s">
        <v>12</v>
      </c>
      <c r="B11" s="2">
        <v>0.25</v>
      </c>
      <c r="E11" s="2"/>
    </row>
    <row r="12" spans="1:8" x14ac:dyDescent="0.35">
      <c r="A12" t="s">
        <v>13</v>
      </c>
      <c r="B12" s="2">
        <v>0.2</v>
      </c>
    </row>
    <row r="13" spans="1:8" x14ac:dyDescent="0.35">
      <c r="A13" t="s">
        <v>14</v>
      </c>
      <c r="B13" s="3"/>
    </row>
    <row r="14" spans="1:8" x14ac:dyDescent="0.35">
      <c r="A14" t="s">
        <v>15</v>
      </c>
      <c r="B14" s="2"/>
    </row>
    <row r="16" spans="1:8" x14ac:dyDescent="0.35">
      <c r="A16" t="s">
        <v>16</v>
      </c>
      <c r="B16" s="2">
        <v>0.1429</v>
      </c>
      <c r="C16" s="2">
        <v>0.24490000000000001</v>
      </c>
      <c r="D16" s="2">
        <v>0.1749</v>
      </c>
      <c r="E16" s="2">
        <v>0.1249</v>
      </c>
      <c r="F16" s="2">
        <v>8.9300000000000004E-2</v>
      </c>
      <c r="G16" s="2"/>
      <c r="H16" s="2"/>
    </row>
    <row r="18" spans="1:7" x14ac:dyDescent="0.35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</row>
    <row r="19" spans="1:7" x14ac:dyDescent="0.35">
      <c r="A19" s="5" t="s">
        <v>17</v>
      </c>
      <c r="B19" s="6"/>
      <c r="C19" s="6"/>
      <c r="D19" s="6"/>
      <c r="E19" s="6"/>
      <c r="F19" s="6"/>
      <c r="G19" s="6"/>
    </row>
    <row r="20" spans="1:7" x14ac:dyDescent="0.35">
      <c r="A20" s="7" t="s">
        <v>18</v>
      </c>
      <c r="B20" s="7"/>
      <c r="C20" s="7"/>
      <c r="D20" s="7"/>
      <c r="E20" s="7"/>
      <c r="F20" s="7"/>
      <c r="G20" s="7"/>
    </row>
    <row r="21" spans="1:7" x14ac:dyDescent="0.35">
      <c r="A21" s="4" t="s">
        <v>19</v>
      </c>
      <c r="B21" s="4"/>
      <c r="C21" s="9">
        <f>$B$7</f>
        <v>3.2</v>
      </c>
      <c r="D21" s="9">
        <f t="shared" ref="D21:G21" si="0">$B$7</f>
        <v>3.2</v>
      </c>
      <c r="E21" s="9">
        <f t="shared" si="0"/>
        <v>3.2</v>
      </c>
      <c r="F21" s="9">
        <f t="shared" si="0"/>
        <v>3.2</v>
      </c>
      <c r="G21" s="9">
        <f t="shared" si="0"/>
        <v>3.2</v>
      </c>
    </row>
    <row r="22" spans="1:7" x14ac:dyDescent="0.35">
      <c r="A22" s="4" t="s">
        <v>20</v>
      </c>
      <c r="B22" s="4"/>
      <c r="C22" s="4">
        <f>B6</f>
        <v>15000</v>
      </c>
      <c r="D22" s="4">
        <f t="shared" ref="D22:G22" si="1">C6</f>
        <v>16000</v>
      </c>
      <c r="E22" s="4">
        <f t="shared" si="1"/>
        <v>17000</v>
      </c>
      <c r="F22" s="4">
        <f t="shared" si="1"/>
        <v>18000</v>
      </c>
      <c r="G22" s="4">
        <f t="shared" si="1"/>
        <v>19000</v>
      </c>
    </row>
    <row r="23" spans="1:7" x14ac:dyDescent="0.35">
      <c r="A23" s="4" t="s">
        <v>21</v>
      </c>
      <c r="B23" s="4"/>
      <c r="C23" s="9">
        <f>C21*C22</f>
        <v>48000</v>
      </c>
      <c r="D23" s="9">
        <f>D21*D22</f>
        <v>51200</v>
      </c>
      <c r="E23" s="9">
        <f t="shared" ref="E23" si="2">E21*E22</f>
        <v>54400</v>
      </c>
      <c r="F23" s="9">
        <f>F21*F22</f>
        <v>57600</v>
      </c>
      <c r="G23" s="9">
        <f>G21*G22</f>
        <v>60800</v>
      </c>
    </row>
    <row r="24" spans="1:7" x14ac:dyDescent="0.35">
      <c r="A24" s="7" t="s">
        <v>22</v>
      </c>
      <c r="B24" s="7"/>
      <c r="C24" s="7"/>
      <c r="D24" s="7"/>
      <c r="E24" s="7"/>
      <c r="F24" s="7"/>
      <c r="G24" s="7"/>
    </row>
    <row r="25" spans="1:7" x14ac:dyDescent="0.35">
      <c r="A25" s="4" t="s">
        <v>23</v>
      </c>
      <c r="B25" s="4"/>
      <c r="C25" s="9">
        <f>$B$8*C22</f>
        <v>12150</v>
      </c>
      <c r="D25" s="9">
        <f t="shared" ref="D25:G25" si="3">$B$8*D22</f>
        <v>12960</v>
      </c>
      <c r="E25" s="9">
        <f t="shared" si="3"/>
        <v>13770</v>
      </c>
      <c r="F25" s="9">
        <f t="shared" si="3"/>
        <v>14580.000000000002</v>
      </c>
      <c r="G25" s="9">
        <f t="shared" si="3"/>
        <v>15390.000000000002</v>
      </c>
    </row>
    <row r="26" spans="1:7" x14ac:dyDescent="0.35">
      <c r="A26" s="4" t="s">
        <v>24</v>
      </c>
      <c r="B26" s="4"/>
      <c r="C26" s="9">
        <v>6000</v>
      </c>
      <c r="D26" s="9">
        <v>6000</v>
      </c>
      <c r="E26" s="9">
        <v>6000</v>
      </c>
      <c r="F26" s="9">
        <v>6000</v>
      </c>
      <c r="G26" s="9">
        <v>6000</v>
      </c>
    </row>
    <row r="27" spans="1:7" x14ac:dyDescent="0.35">
      <c r="A27" s="4" t="s">
        <v>25</v>
      </c>
      <c r="B27" s="4"/>
      <c r="C27" s="9">
        <f>$B$9*C22</f>
        <v>6000</v>
      </c>
      <c r="D27" s="9">
        <f t="shared" ref="D27:G27" si="4">$B$9*D22</f>
        <v>6400</v>
      </c>
      <c r="E27" s="9">
        <f t="shared" si="4"/>
        <v>6800</v>
      </c>
      <c r="F27" s="9">
        <f t="shared" si="4"/>
        <v>7200</v>
      </c>
      <c r="G27" s="9">
        <f t="shared" si="4"/>
        <v>7600</v>
      </c>
    </row>
    <row r="28" spans="1:7" x14ac:dyDescent="0.35">
      <c r="A28" s="4" t="s">
        <v>10</v>
      </c>
      <c r="B28" s="4"/>
      <c r="C28" s="9">
        <f>$B$10</f>
        <v>6000</v>
      </c>
      <c r="D28" s="9">
        <f t="shared" ref="D28:G28" si="5">$B$10</f>
        <v>6000</v>
      </c>
      <c r="E28" s="9">
        <f t="shared" si="5"/>
        <v>6000</v>
      </c>
      <c r="F28" s="9">
        <f t="shared" si="5"/>
        <v>6000</v>
      </c>
      <c r="G28" s="9">
        <f t="shared" si="5"/>
        <v>6000</v>
      </c>
    </row>
    <row r="29" spans="1:7" x14ac:dyDescent="0.35">
      <c r="A29" s="4" t="s">
        <v>26</v>
      </c>
      <c r="B29" s="4"/>
      <c r="C29" s="9">
        <f>$B$3*B16</f>
        <v>7287.9</v>
      </c>
      <c r="D29" s="9">
        <f t="shared" ref="D29:F29" si="6">$B$3*C16</f>
        <v>12489.9</v>
      </c>
      <c r="E29" s="9">
        <f t="shared" si="6"/>
        <v>8919.9</v>
      </c>
      <c r="F29" s="9">
        <f t="shared" si="6"/>
        <v>6369.9</v>
      </c>
      <c r="G29" s="9">
        <f>$B$3*(F16/2)</f>
        <v>2277.15</v>
      </c>
    </row>
    <row r="30" spans="1:7" x14ac:dyDescent="0.35">
      <c r="A30" s="4" t="s">
        <v>27</v>
      </c>
      <c r="B30" s="4"/>
      <c r="C30" s="11">
        <f>IPMT($B$14,C18,$G$18,$B$13)</f>
        <v>0</v>
      </c>
      <c r="D30" s="11">
        <f>IPMT($B$14,D18,$G$18,$B$13)</f>
        <v>0</v>
      </c>
      <c r="E30" s="11">
        <f t="shared" ref="E30:G30" si="7">IPMT($B$14,E18,$G$18,$B$13)</f>
        <v>0</v>
      </c>
      <c r="F30" s="11">
        <f t="shared" si="7"/>
        <v>0</v>
      </c>
      <c r="G30" s="11">
        <f t="shared" si="7"/>
        <v>0</v>
      </c>
    </row>
    <row r="31" spans="1:7" x14ac:dyDescent="0.35">
      <c r="A31" s="4" t="s">
        <v>28</v>
      </c>
      <c r="B31" s="4"/>
      <c r="C31" s="9">
        <f>C23-SUM(C25:C30)</f>
        <v>10562.099999999999</v>
      </c>
      <c r="D31" s="9">
        <f>D23-SUM(D25:D30)</f>
        <v>7350.0999999999985</v>
      </c>
      <c r="E31" s="9">
        <f t="shared" ref="E31:G31" si="8">E23-SUM(E25:E30)</f>
        <v>12910.099999999999</v>
      </c>
      <c r="F31" s="9">
        <f t="shared" si="8"/>
        <v>17450.099999999999</v>
      </c>
      <c r="G31" s="9">
        <f t="shared" si="8"/>
        <v>23532.85</v>
      </c>
    </row>
    <row r="32" spans="1:7" x14ac:dyDescent="0.35">
      <c r="A32" s="4" t="s">
        <v>29</v>
      </c>
      <c r="B32" s="4"/>
      <c r="C32" s="9">
        <f>C31*$B$11</f>
        <v>2640.5249999999996</v>
      </c>
      <c r="D32" s="9">
        <f t="shared" ref="D32:G32" si="9">D31*$B$11</f>
        <v>1837.5249999999996</v>
      </c>
      <c r="E32" s="9">
        <f t="shared" si="9"/>
        <v>3227.5249999999996</v>
      </c>
      <c r="F32" s="9">
        <f t="shared" si="9"/>
        <v>4362.5249999999996</v>
      </c>
      <c r="G32" s="9">
        <f t="shared" si="9"/>
        <v>5883.2124999999996</v>
      </c>
    </row>
    <row r="33" spans="1:9" x14ac:dyDescent="0.35">
      <c r="A33" s="8" t="s">
        <v>30</v>
      </c>
      <c r="B33" s="8"/>
      <c r="C33" s="10">
        <f>C31-C32</f>
        <v>7921.5749999999989</v>
      </c>
      <c r="D33" s="10">
        <f t="shared" ref="D33:G33" si="10">D31-D32</f>
        <v>5512.5749999999989</v>
      </c>
      <c r="E33" s="10">
        <f t="shared" si="10"/>
        <v>9682.5749999999989</v>
      </c>
      <c r="F33" s="10">
        <f t="shared" si="10"/>
        <v>13087.574999999999</v>
      </c>
      <c r="G33" s="10">
        <f t="shared" si="10"/>
        <v>17649.637499999997</v>
      </c>
    </row>
    <row r="34" spans="1:9" x14ac:dyDescent="0.35">
      <c r="A34" s="5" t="s">
        <v>31</v>
      </c>
      <c r="B34" s="6"/>
      <c r="C34" s="6"/>
      <c r="D34" s="6"/>
      <c r="E34" s="6"/>
      <c r="F34" s="6"/>
      <c r="G34" s="6"/>
    </row>
    <row r="35" spans="1:9" x14ac:dyDescent="0.35">
      <c r="A35" s="7" t="s">
        <v>32</v>
      </c>
      <c r="B35" s="7"/>
      <c r="C35" s="7"/>
      <c r="D35" s="7"/>
      <c r="E35" s="7"/>
      <c r="F35" s="7"/>
      <c r="G35" s="7"/>
    </row>
    <row r="36" spans="1:9" x14ac:dyDescent="0.35">
      <c r="A36" s="4" t="s">
        <v>30</v>
      </c>
      <c r="B36" s="4"/>
      <c r="C36" s="9">
        <f>C33</f>
        <v>7921.5749999999989</v>
      </c>
      <c r="D36" s="9">
        <f t="shared" ref="D36:G36" si="11">D33</f>
        <v>5512.5749999999989</v>
      </c>
      <c r="E36" s="9">
        <f t="shared" si="11"/>
        <v>9682.5749999999989</v>
      </c>
      <c r="F36" s="9">
        <f t="shared" si="11"/>
        <v>13087.574999999999</v>
      </c>
      <c r="G36" s="9">
        <f t="shared" si="11"/>
        <v>17649.637499999997</v>
      </c>
    </row>
    <row r="37" spans="1:9" x14ac:dyDescent="0.35">
      <c r="A37" s="4" t="s">
        <v>26</v>
      </c>
      <c r="B37" s="4"/>
      <c r="C37" s="9">
        <f>C29</f>
        <v>7287.9</v>
      </c>
      <c r="D37" s="9">
        <f t="shared" ref="D37:G37" si="12">D29</f>
        <v>12489.9</v>
      </c>
      <c r="E37" s="9">
        <f t="shared" si="12"/>
        <v>8919.9</v>
      </c>
      <c r="F37" s="9">
        <f t="shared" si="12"/>
        <v>6369.9</v>
      </c>
      <c r="G37" s="9">
        <f t="shared" si="12"/>
        <v>2277.15</v>
      </c>
    </row>
    <row r="38" spans="1:9" x14ac:dyDescent="0.35">
      <c r="A38" s="7" t="s">
        <v>33</v>
      </c>
      <c r="B38" s="7"/>
      <c r="C38" s="7"/>
      <c r="D38" s="7"/>
      <c r="E38" s="7"/>
      <c r="F38" s="7"/>
      <c r="G38" s="7"/>
    </row>
    <row r="39" spans="1:9" x14ac:dyDescent="0.35">
      <c r="A39" s="4" t="s">
        <v>34</v>
      </c>
      <c r="B39" s="9">
        <f>B3</f>
        <v>51000</v>
      </c>
      <c r="C39" s="4"/>
      <c r="D39" s="4"/>
      <c r="E39" s="4"/>
      <c r="F39" s="4"/>
      <c r="G39" s="4"/>
    </row>
    <row r="40" spans="1:9" x14ac:dyDescent="0.35">
      <c r="A40" s="4" t="s">
        <v>3</v>
      </c>
      <c r="B40" s="4"/>
      <c r="C40" s="4"/>
      <c r="D40" s="4"/>
      <c r="E40" s="4"/>
      <c r="F40" s="4"/>
      <c r="G40" s="9">
        <f>B4</f>
        <v>13500</v>
      </c>
    </row>
    <row r="41" spans="1:9" x14ac:dyDescent="0.35">
      <c r="A41" s="4" t="s">
        <v>35</v>
      </c>
      <c r="B41" s="4"/>
      <c r="C41" s="4"/>
      <c r="D41" s="4"/>
      <c r="E41" s="4"/>
      <c r="F41" s="4"/>
      <c r="G41" s="9">
        <f>B11*(G40-(B39-SUM(C29:G29)))</f>
        <v>-38.8125</v>
      </c>
      <c r="I41" t="s">
        <v>36</v>
      </c>
    </row>
    <row r="42" spans="1:9" x14ac:dyDescent="0.35">
      <c r="A42" s="7" t="s">
        <v>37</v>
      </c>
      <c r="B42" s="7"/>
      <c r="C42" s="7"/>
      <c r="D42" s="7"/>
      <c r="E42" s="7"/>
      <c r="F42" s="7"/>
      <c r="G42" s="7"/>
      <c r="I42" t="s">
        <v>38</v>
      </c>
    </row>
    <row r="43" spans="1:9" x14ac:dyDescent="0.35">
      <c r="A43" s="4" t="s">
        <v>39</v>
      </c>
      <c r="B43" s="9">
        <f>B13</f>
        <v>0</v>
      </c>
      <c r="C43" s="4"/>
      <c r="D43" s="4"/>
      <c r="E43" s="4"/>
      <c r="F43" s="4"/>
      <c r="G43" s="4"/>
    </row>
    <row r="44" spans="1:9" x14ac:dyDescent="0.35">
      <c r="A44" s="12" t="s">
        <v>40</v>
      </c>
      <c r="B44" s="13"/>
      <c r="C44" s="13">
        <f>PPMT($B$14,C18,$G$18,$B$13)</f>
        <v>0</v>
      </c>
      <c r="D44" s="13">
        <f t="shared" ref="D44:G44" si="13">PPMT($B$14,D18,$G$18,$B$13)</f>
        <v>0</v>
      </c>
      <c r="E44" s="13">
        <f>PPMT($B$14,E18,$G$18,$B$13)</f>
        <v>0</v>
      </c>
      <c r="F44" s="13">
        <f t="shared" si="13"/>
        <v>0</v>
      </c>
      <c r="G44" s="13">
        <f t="shared" si="13"/>
        <v>0</v>
      </c>
    </row>
    <row r="45" spans="1:9" x14ac:dyDescent="0.35">
      <c r="A45" s="8" t="s">
        <v>41</v>
      </c>
      <c r="B45" s="10">
        <f>B36+B37-B39+B40-B41+B43-B44</f>
        <v>-51000</v>
      </c>
      <c r="C45" s="10">
        <f t="shared" ref="C45:G45" si="14">C36+C37-C39+C40-C41+C43-C44</f>
        <v>15209.474999999999</v>
      </c>
      <c r="D45" s="10">
        <f t="shared" si="14"/>
        <v>18002.474999999999</v>
      </c>
      <c r="E45" s="10">
        <f t="shared" si="14"/>
        <v>18602.474999999999</v>
      </c>
      <c r="F45" s="10">
        <f t="shared" si="14"/>
        <v>19457.474999999999</v>
      </c>
      <c r="G45" s="10">
        <f t="shared" si="14"/>
        <v>33465.599999999999</v>
      </c>
    </row>
    <row r="47" spans="1:9" x14ac:dyDescent="0.35">
      <c r="A47" s="14" t="s">
        <v>42</v>
      </c>
      <c r="B47" s="17">
        <f>IRR(B45:G45)</f>
        <v>0.25971920796672343</v>
      </c>
      <c r="C47" t="s">
        <v>43</v>
      </c>
    </row>
    <row r="48" spans="1:9" x14ac:dyDescent="0.35">
      <c r="A48" s="14" t="s">
        <v>44</v>
      </c>
      <c r="B48" s="3">
        <f>NPV(B12,C45:G45)+B45</f>
        <v>7774.1038773148102</v>
      </c>
      <c r="C4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86F4-BB33-454D-968C-E7AA89072404}">
  <dimension ref="A1:Y48"/>
  <sheetViews>
    <sheetView workbookViewId="0">
      <selection activeCell="B8" sqref="B8"/>
    </sheetView>
  </sheetViews>
  <sheetFormatPr defaultRowHeight="14.5" x14ac:dyDescent="0.35"/>
  <cols>
    <col min="1" max="1" width="39" bestFit="1" customWidth="1"/>
    <col min="2" max="2" width="12.26953125" bestFit="1" customWidth="1"/>
    <col min="3" max="3" width="15.7265625" bestFit="1" customWidth="1"/>
    <col min="4" max="7" width="11.81640625" bestFit="1" customWidth="1"/>
    <col min="9" max="9" width="30.26953125" bestFit="1" customWidth="1"/>
    <col min="10" max="10" width="16.453125" bestFit="1" customWidth="1"/>
    <col min="11" max="11" width="21.26953125" customWidth="1"/>
    <col min="12" max="12" width="14.81640625" bestFit="1" customWidth="1"/>
    <col min="13" max="13" width="16.7265625" bestFit="1" customWidth="1"/>
    <col min="14" max="14" width="11.81640625" bestFit="1" customWidth="1"/>
    <col min="15" max="23" width="11.54296875" bestFit="1" customWidth="1"/>
    <col min="24" max="24" width="16.81640625" bestFit="1" customWidth="1"/>
    <col min="25" max="25" width="16.453125" bestFit="1" customWidth="1"/>
  </cols>
  <sheetData>
    <row r="1" spans="1:23" x14ac:dyDescent="0.35">
      <c r="A1" s="24" t="s">
        <v>0</v>
      </c>
      <c r="B1" s="24"/>
      <c r="I1" t="s">
        <v>46</v>
      </c>
      <c r="M1" s="56" t="s">
        <v>47</v>
      </c>
      <c r="N1" s="56"/>
      <c r="O1" s="56"/>
      <c r="P1" s="56"/>
      <c r="Q1" s="56"/>
      <c r="R1" s="56"/>
      <c r="S1" s="56"/>
      <c r="T1" s="56"/>
      <c r="U1" s="56"/>
      <c r="V1" s="56"/>
    </row>
    <row r="2" spans="1:23" x14ac:dyDescent="0.35">
      <c r="A2" s="4"/>
      <c r="B2" s="4"/>
      <c r="I2" t="s">
        <v>48</v>
      </c>
      <c r="M2" s="24" t="s">
        <v>49</v>
      </c>
      <c r="N2" s="28">
        <v>-0.2</v>
      </c>
      <c r="O2" s="28">
        <f>N2+0.05</f>
        <v>-0.15000000000000002</v>
      </c>
      <c r="P2" s="28">
        <f t="shared" ref="P2:U2" si="0">O2+0.05</f>
        <v>-0.10000000000000002</v>
      </c>
      <c r="Q2" s="28">
        <f t="shared" si="0"/>
        <v>-5.0000000000000017E-2</v>
      </c>
      <c r="R2" s="28">
        <f t="shared" si="0"/>
        <v>0</v>
      </c>
      <c r="S2" s="28">
        <f t="shared" si="0"/>
        <v>0.05</v>
      </c>
      <c r="T2" s="28">
        <f t="shared" si="0"/>
        <v>0.1</v>
      </c>
      <c r="U2" s="28">
        <f t="shared" si="0"/>
        <v>0.15000000000000002</v>
      </c>
      <c r="V2" s="28">
        <f>U2+0.05</f>
        <v>0.2</v>
      </c>
      <c r="W2" t="s">
        <v>50</v>
      </c>
    </row>
    <row r="3" spans="1:23" x14ac:dyDescent="0.35">
      <c r="A3" s="38" t="s">
        <v>2</v>
      </c>
      <c r="B3" s="37">
        <v>50000</v>
      </c>
      <c r="E3" s="2"/>
      <c r="I3" s="19">
        <v>0</v>
      </c>
      <c r="M3" s="31" t="s">
        <v>2</v>
      </c>
      <c r="N3" s="35">
        <v>22593.546492788089</v>
      </c>
      <c r="O3" s="35">
        <v>20453.639005005163</v>
      </c>
      <c r="P3" s="35">
        <v>18313.731517222252</v>
      </c>
      <c r="Q3" s="35">
        <v>16173.824029439325</v>
      </c>
      <c r="R3" s="35">
        <v>14033.916541656399</v>
      </c>
      <c r="S3" s="35">
        <v>11894.00905387348</v>
      </c>
      <c r="T3" s="35">
        <v>9754.1015660905614</v>
      </c>
      <c r="U3" s="35">
        <v>7614.1940783076498</v>
      </c>
      <c r="V3" s="35">
        <v>5474.2865905247163</v>
      </c>
      <c r="W3" s="36">
        <f>MAX(N3:V3)-MIN(N3:V3)</f>
        <v>17119.259902263373</v>
      </c>
    </row>
    <row r="4" spans="1:23" x14ac:dyDescent="0.35">
      <c r="A4" s="4" t="s">
        <v>3</v>
      </c>
      <c r="B4" s="30">
        <v>13800</v>
      </c>
      <c r="E4" s="2"/>
      <c r="M4" s="32" t="s">
        <v>51</v>
      </c>
      <c r="N4" s="35">
        <v>-9853.4291373559245</v>
      </c>
      <c r="O4" s="35">
        <v>-3881.592717602849</v>
      </c>
      <c r="P4" s="35">
        <v>2090.2437021502483</v>
      </c>
      <c r="Q4" s="35">
        <v>8062.0801219033165</v>
      </c>
      <c r="R4" s="35">
        <v>14033.916541656399</v>
      </c>
      <c r="S4" s="35">
        <v>20005.752961409504</v>
      </c>
      <c r="T4" s="35">
        <v>25977.589381162601</v>
      </c>
      <c r="U4" s="35">
        <v>31949.425800915647</v>
      </c>
      <c r="V4" s="35">
        <v>37921.262220668752</v>
      </c>
      <c r="W4" s="36">
        <f t="shared" ref="W4:W7" si="1">MAX(N4:V4)-MIN(N4:V4)</f>
        <v>47774.691358024676</v>
      </c>
    </row>
    <row r="5" spans="1:23" x14ac:dyDescent="0.35">
      <c r="A5" s="23" t="s">
        <v>4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M5" s="33" t="s">
        <v>52</v>
      </c>
      <c r="N5" s="35">
        <v>20080.400916656399</v>
      </c>
      <c r="O5" s="35">
        <v>18568.779822906399</v>
      </c>
      <c r="P5" s="35">
        <v>17057.158729156399</v>
      </c>
      <c r="Q5" s="35">
        <v>15545.537635406399</v>
      </c>
      <c r="R5" s="35">
        <v>14033.916541656399</v>
      </c>
      <c r="S5" s="35">
        <v>12522.295447906399</v>
      </c>
      <c r="T5" s="35">
        <v>11010.674354156399</v>
      </c>
      <c r="U5" s="35">
        <v>9499.0532604063992</v>
      </c>
      <c r="V5" s="35">
        <v>7987.4321666563992</v>
      </c>
      <c r="W5" s="36">
        <f t="shared" si="1"/>
        <v>12092.96875</v>
      </c>
    </row>
    <row r="6" spans="1:23" x14ac:dyDescent="0.35">
      <c r="A6" s="23" t="s">
        <v>5</v>
      </c>
      <c r="B6" s="4">
        <v>15000</v>
      </c>
      <c r="C6" s="4">
        <v>16000</v>
      </c>
      <c r="D6" s="4">
        <v>17000</v>
      </c>
      <c r="E6" s="4">
        <v>18000</v>
      </c>
      <c r="F6" s="4">
        <v>19000</v>
      </c>
      <c r="M6" s="8" t="s">
        <v>9</v>
      </c>
      <c r="N6" s="35">
        <v>17019.834751532944</v>
      </c>
      <c r="O6" s="35">
        <v>16273.355199063808</v>
      </c>
      <c r="P6" s="35">
        <v>15526.875646594672</v>
      </c>
      <c r="Q6" s="35">
        <v>14780.396094125535</v>
      </c>
      <c r="R6" s="35">
        <v>14033.916541656399</v>
      </c>
      <c r="S6" s="35">
        <v>13287.436989187263</v>
      </c>
      <c r="T6" s="35">
        <v>12540.957436718134</v>
      </c>
      <c r="U6" s="35">
        <v>11794.47788424899</v>
      </c>
      <c r="V6" s="35">
        <v>11047.998331779861</v>
      </c>
      <c r="W6" s="36">
        <f t="shared" si="1"/>
        <v>5971.8364197530827</v>
      </c>
    </row>
    <row r="7" spans="1:23" x14ac:dyDescent="0.35">
      <c r="A7" s="38" t="s">
        <v>6</v>
      </c>
      <c r="B7" s="39">
        <v>3.2</v>
      </c>
      <c r="C7" t="s">
        <v>7</v>
      </c>
      <c r="E7" s="2"/>
      <c r="I7" s="20">
        <v>0</v>
      </c>
      <c r="M7" s="34" t="s">
        <v>15</v>
      </c>
      <c r="N7" s="35">
        <v>14230.400650855139</v>
      </c>
      <c r="O7" s="35">
        <v>14181.589393188202</v>
      </c>
      <c r="P7" s="35">
        <v>14132.57083212673</v>
      </c>
      <c r="Q7" s="35">
        <v>14083.34615306108</v>
      </c>
      <c r="R7" s="35">
        <v>14033.916541656399</v>
      </c>
      <c r="S7" s="35">
        <v>13984.283183680847</v>
      </c>
      <c r="T7" s="35">
        <v>13934.447264836883</v>
      </c>
      <c r="U7" s="35">
        <v>13884.409970596127</v>
      </c>
      <c r="V7" s="35">
        <v>13834.172486037452</v>
      </c>
      <c r="W7" s="36">
        <f t="shared" si="1"/>
        <v>396.22816481768677</v>
      </c>
    </row>
    <row r="8" spans="1:23" x14ac:dyDescent="0.35">
      <c r="A8" s="25" t="s">
        <v>8</v>
      </c>
      <c r="B8" s="26">
        <f>0.81*(1+I8)</f>
        <v>0.81</v>
      </c>
      <c r="C8" t="s">
        <v>7</v>
      </c>
      <c r="E8" s="2"/>
      <c r="I8" s="21">
        <v>0</v>
      </c>
    </row>
    <row r="9" spans="1:23" x14ac:dyDescent="0.35">
      <c r="A9" s="25" t="s">
        <v>9</v>
      </c>
      <c r="B9" s="27">
        <f>0.4 * (1+I9)</f>
        <v>0.4</v>
      </c>
      <c r="C9" t="s">
        <v>7</v>
      </c>
      <c r="E9" s="2"/>
      <c r="I9" s="22">
        <v>0</v>
      </c>
      <c r="N9" s="28">
        <v>-0.2</v>
      </c>
      <c r="O9" s="28">
        <f>N9+0.05</f>
        <v>-0.15000000000000002</v>
      </c>
      <c r="P9" s="28">
        <f t="shared" ref="P9:U9" si="2">O9+0.05</f>
        <v>-0.10000000000000002</v>
      </c>
      <c r="Q9" s="28">
        <f t="shared" si="2"/>
        <v>-5.0000000000000017E-2</v>
      </c>
      <c r="R9" s="28">
        <f t="shared" si="2"/>
        <v>0</v>
      </c>
      <c r="S9" s="28">
        <f t="shared" si="2"/>
        <v>0.05</v>
      </c>
      <c r="T9" s="28">
        <f t="shared" si="2"/>
        <v>0.1</v>
      </c>
      <c r="U9" s="28">
        <f t="shared" si="2"/>
        <v>0.15000000000000002</v>
      </c>
      <c r="V9" s="28">
        <f>U9+0.05</f>
        <v>0.2</v>
      </c>
    </row>
    <row r="10" spans="1:23" x14ac:dyDescent="0.35">
      <c r="A10" s="4" t="s">
        <v>10</v>
      </c>
      <c r="B10" s="9">
        <v>6000</v>
      </c>
      <c r="C10" t="s">
        <v>11</v>
      </c>
      <c r="E10" s="2"/>
      <c r="I10" s="2"/>
      <c r="M10" s="3">
        <f>B48</f>
        <v>14033.916541656399</v>
      </c>
      <c r="N10">
        <f t="dataTable" ref="N10:V10" dt2D="0" dtr="1" r1="I14"/>
        <v>14230.400650855139</v>
      </c>
      <c r="O10">
        <v>14181.589393188202</v>
      </c>
      <c r="P10">
        <v>14132.57083212673</v>
      </c>
      <c r="Q10">
        <v>14083.34615306108</v>
      </c>
      <c r="R10">
        <v>14033.916541656399</v>
      </c>
      <c r="S10">
        <v>13984.283183680847</v>
      </c>
      <c r="T10">
        <v>13934.447264836883</v>
      </c>
      <c r="U10">
        <v>13884.409970596127</v>
      </c>
      <c r="V10">
        <v>13834.172486037452</v>
      </c>
    </row>
    <row r="11" spans="1:23" x14ac:dyDescent="0.35">
      <c r="A11" s="4" t="s">
        <v>12</v>
      </c>
      <c r="B11" s="28">
        <v>0.25</v>
      </c>
      <c r="E11" s="2"/>
      <c r="I11" s="2"/>
    </row>
    <row r="12" spans="1:23" x14ac:dyDescent="0.35">
      <c r="A12" s="4" t="s">
        <v>13</v>
      </c>
      <c r="B12" s="28">
        <v>0.2</v>
      </c>
      <c r="I12" s="2"/>
    </row>
    <row r="13" spans="1:23" x14ac:dyDescent="0.35">
      <c r="A13" s="4" t="s">
        <v>14</v>
      </c>
      <c r="B13" s="9">
        <v>10000</v>
      </c>
      <c r="I13" s="2"/>
    </row>
    <row r="14" spans="1:23" x14ac:dyDescent="0.35">
      <c r="A14" s="25" t="s">
        <v>15</v>
      </c>
      <c r="B14" s="29">
        <f>7%*(1+I14)</f>
        <v>7.0000000000000007E-2</v>
      </c>
      <c r="I14" s="18">
        <v>0</v>
      </c>
    </row>
    <row r="15" spans="1:23" x14ac:dyDescent="0.35">
      <c r="A15" s="4"/>
      <c r="B15" s="4"/>
    </row>
    <row r="16" spans="1:23" x14ac:dyDescent="0.35">
      <c r="A16" t="s">
        <v>16</v>
      </c>
      <c r="B16" s="2">
        <v>0.1429</v>
      </c>
      <c r="C16" s="2">
        <v>0.24490000000000001</v>
      </c>
      <c r="D16" s="2">
        <v>0.1749</v>
      </c>
      <c r="E16" s="2">
        <v>0.1249</v>
      </c>
      <c r="F16" s="2">
        <v>8.9300000000000004E-2</v>
      </c>
      <c r="G16" s="2"/>
      <c r="H16" s="2"/>
    </row>
    <row r="18" spans="1:25" x14ac:dyDescent="0.35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</row>
    <row r="19" spans="1:25" x14ac:dyDescent="0.35">
      <c r="A19" s="5" t="s">
        <v>17</v>
      </c>
      <c r="B19" s="6"/>
      <c r="C19" s="6"/>
      <c r="D19" s="6"/>
      <c r="E19" s="6"/>
      <c r="F19" s="6"/>
      <c r="G19" s="6"/>
      <c r="X19" s="40" t="s">
        <v>49</v>
      </c>
      <c r="Y19" s="41" t="s">
        <v>53</v>
      </c>
    </row>
    <row r="20" spans="1:25" x14ac:dyDescent="0.35">
      <c r="A20" s="7" t="s">
        <v>18</v>
      </c>
      <c r="B20" s="7"/>
      <c r="C20" s="7"/>
      <c r="D20" s="7"/>
      <c r="E20" s="7"/>
      <c r="F20" s="7"/>
      <c r="G20" s="7"/>
      <c r="X20" s="41" t="s">
        <v>19</v>
      </c>
      <c r="Y20" s="39">
        <v>2.8239972951640451</v>
      </c>
    </row>
    <row r="21" spans="1:25" x14ac:dyDescent="0.35">
      <c r="A21" s="4" t="s">
        <v>19</v>
      </c>
      <c r="B21" s="4"/>
      <c r="C21" s="9">
        <f>$B$7</f>
        <v>3.2</v>
      </c>
      <c r="D21" s="9">
        <f t="shared" ref="D21:G21" si="3">$B$7</f>
        <v>3.2</v>
      </c>
      <c r="E21" s="9">
        <f t="shared" si="3"/>
        <v>3.2</v>
      </c>
      <c r="F21" s="9">
        <f t="shared" si="3"/>
        <v>3.2</v>
      </c>
      <c r="G21" s="9">
        <f t="shared" si="3"/>
        <v>3.2</v>
      </c>
      <c r="X21" s="41" t="s">
        <v>54</v>
      </c>
      <c r="Y21" s="37">
        <v>66395.471091365296</v>
      </c>
    </row>
    <row r="22" spans="1:25" x14ac:dyDescent="0.35">
      <c r="A22" s="4" t="s">
        <v>20</v>
      </c>
      <c r="B22" s="4"/>
      <c r="C22" s="4">
        <f>B6</f>
        <v>15000</v>
      </c>
      <c r="D22" s="4">
        <f t="shared" ref="D22:G22" si="4">C6</f>
        <v>16000</v>
      </c>
      <c r="E22" s="4">
        <f t="shared" si="4"/>
        <v>17000</v>
      </c>
      <c r="F22" s="4">
        <f t="shared" si="4"/>
        <v>18000</v>
      </c>
      <c r="G22" s="4">
        <f t="shared" si="4"/>
        <v>19000</v>
      </c>
    </row>
    <row r="23" spans="1:25" x14ac:dyDescent="0.35">
      <c r="A23" s="4" t="s">
        <v>21</v>
      </c>
      <c r="B23" s="4"/>
      <c r="C23" s="9">
        <f>C21*C22</f>
        <v>48000</v>
      </c>
      <c r="D23" s="9">
        <f>D21*D22</f>
        <v>51200</v>
      </c>
      <c r="E23" s="9">
        <f t="shared" ref="E23" si="5">E21*E22</f>
        <v>54400</v>
      </c>
      <c r="F23" s="9">
        <f>F21*F22</f>
        <v>57600</v>
      </c>
      <c r="G23" s="9">
        <f>G21*G22</f>
        <v>60800</v>
      </c>
    </row>
    <row r="24" spans="1:25" x14ac:dyDescent="0.35">
      <c r="A24" s="7" t="s">
        <v>22</v>
      </c>
      <c r="B24" s="7"/>
      <c r="C24" s="7"/>
      <c r="D24" s="7"/>
      <c r="E24" s="7"/>
      <c r="F24" s="7"/>
      <c r="G24" s="7"/>
    </row>
    <row r="25" spans="1:25" x14ac:dyDescent="0.35">
      <c r="A25" s="4" t="s">
        <v>23</v>
      </c>
      <c r="B25" s="4"/>
      <c r="C25" s="9">
        <f>$B$8*C22</f>
        <v>12150</v>
      </c>
      <c r="D25" s="9">
        <f t="shared" ref="D25:G25" si="6">$B$8*D22</f>
        <v>12960</v>
      </c>
      <c r="E25" s="9">
        <f t="shared" si="6"/>
        <v>13770</v>
      </c>
      <c r="F25" s="9">
        <f t="shared" si="6"/>
        <v>14580.000000000002</v>
      </c>
      <c r="G25" s="9">
        <f t="shared" si="6"/>
        <v>15390.000000000002</v>
      </c>
    </row>
    <row r="26" spans="1:25" x14ac:dyDescent="0.35">
      <c r="A26" s="4" t="s">
        <v>25</v>
      </c>
      <c r="B26" s="4"/>
      <c r="C26" s="9">
        <f>$B$9*C22</f>
        <v>6000</v>
      </c>
      <c r="D26" s="9">
        <f t="shared" ref="D26:G26" si="7">$B$9*D22</f>
        <v>6400</v>
      </c>
      <c r="E26" s="9">
        <f t="shared" si="7"/>
        <v>6800</v>
      </c>
      <c r="F26" s="9">
        <f t="shared" si="7"/>
        <v>7200</v>
      </c>
      <c r="G26" s="9">
        <f t="shared" si="7"/>
        <v>7600</v>
      </c>
    </row>
    <row r="27" spans="1:25" x14ac:dyDescent="0.35">
      <c r="A27" s="4" t="s">
        <v>24</v>
      </c>
      <c r="B27" s="4"/>
      <c r="C27" s="9">
        <v>5000</v>
      </c>
      <c r="D27" s="9">
        <v>5000</v>
      </c>
      <c r="E27" s="9">
        <v>5000</v>
      </c>
      <c r="F27" s="9">
        <v>5000</v>
      </c>
      <c r="G27" s="9">
        <v>5000</v>
      </c>
    </row>
    <row r="28" spans="1:25" x14ac:dyDescent="0.35">
      <c r="A28" s="4" t="s">
        <v>10</v>
      </c>
      <c r="B28" s="4"/>
      <c r="C28" s="9">
        <f>$B$10</f>
        <v>6000</v>
      </c>
      <c r="D28" s="9">
        <f t="shared" ref="D28:G28" si="8">$B$10</f>
        <v>6000</v>
      </c>
      <c r="E28" s="9">
        <f t="shared" si="8"/>
        <v>6000</v>
      </c>
      <c r="F28" s="9">
        <f t="shared" si="8"/>
        <v>6000</v>
      </c>
      <c r="G28" s="9">
        <f t="shared" si="8"/>
        <v>6000</v>
      </c>
    </row>
    <row r="29" spans="1:25" x14ac:dyDescent="0.35">
      <c r="A29" s="4" t="s">
        <v>26</v>
      </c>
      <c r="B29" s="4"/>
      <c r="C29" s="9">
        <f>$B$3*B16</f>
        <v>7145</v>
      </c>
      <c r="D29" s="9">
        <f>$B$3*C16</f>
        <v>12245</v>
      </c>
      <c r="E29" s="9">
        <f>$B$3*D16</f>
        <v>8745</v>
      </c>
      <c r="F29" s="9">
        <f>$B$3*E16</f>
        <v>6245</v>
      </c>
      <c r="G29" s="9">
        <f>$B$3*(F16/2)</f>
        <v>2232.5</v>
      </c>
    </row>
    <row r="30" spans="1:25" x14ac:dyDescent="0.35">
      <c r="A30" s="4" t="s">
        <v>27</v>
      </c>
      <c r="B30" s="4"/>
      <c r="C30" s="15">
        <f>-IPMT($B$14,C18,$G$18,$B$13)</f>
        <v>700.00000000000011</v>
      </c>
      <c r="D30" s="15">
        <f t="shared" ref="D30:G30" si="9">-IPMT($B$14,D18,$G$18,$B$13)</f>
        <v>578.27651389103823</v>
      </c>
      <c r="E30" s="15">
        <f t="shared" si="9"/>
        <v>448.03238375444897</v>
      </c>
      <c r="F30" s="15">
        <f t="shared" si="9"/>
        <v>308.6711645082986</v>
      </c>
      <c r="G30" s="15">
        <f t="shared" si="9"/>
        <v>159.55465991491764</v>
      </c>
    </row>
    <row r="31" spans="1:25" x14ac:dyDescent="0.35">
      <c r="A31" s="4" t="s">
        <v>28</v>
      </c>
      <c r="B31" s="4"/>
      <c r="C31" s="9">
        <f>C23-SUM(C25:C30)</f>
        <v>11005</v>
      </c>
      <c r="D31" s="9">
        <f>D23-SUM(D25:D30)</f>
        <v>8016.7234861089601</v>
      </c>
      <c r="E31" s="9">
        <f>E23-SUM(E25:E30)</f>
        <v>13636.967616245551</v>
      </c>
      <c r="F31" s="9">
        <f t="shared" ref="F31:G31" si="10">F23-SUM(F25:F30)</f>
        <v>18266.328835491702</v>
      </c>
      <c r="G31" s="9">
        <f t="shared" si="10"/>
        <v>24417.945340085083</v>
      </c>
    </row>
    <row r="32" spans="1:25" x14ac:dyDescent="0.35">
      <c r="A32" s="4" t="s">
        <v>29</v>
      </c>
      <c r="B32" s="4"/>
      <c r="C32" s="9">
        <f>C31*$B$11</f>
        <v>2751.25</v>
      </c>
      <c r="D32" s="9">
        <f t="shared" ref="D32:G32" si="11">D31*$B$11</f>
        <v>2004.18087152724</v>
      </c>
      <c r="E32" s="9">
        <f t="shared" si="11"/>
        <v>3409.2419040613877</v>
      </c>
      <c r="F32" s="9">
        <f t="shared" si="11"/>
        <v>4566.5822088729255</v>
      </c>
      <c r="G32" s="9">
        <f t="shared" si="11"/>
        <v>6104.4863350212709</v>
      </c>
    </row>
    <row r="33" spans="1:9" x14ac:dyDescent="0.35">
      <c r="A33" s="8" t="s">
        <v>30</v>
      </c>
      <c r="B33" s="8"/>
      <c r="C33" s="10">
        <f>C31-C32</f>
        <v>8253.75</v>
      </c>
      <c r="D33" s="10">
        <f t="shared" ref="D33:G33" si="12">D31-D32</f>
        <v>6012.54261458172</v>
      </c>
      <c r="E33" s="10">
        <f t="shared" si="12"/>
        <v>10227.725712184163</v>
      </c>
      <c r="F33" s="10">
        <f t="shared" si="12"/>
        <v>13699.746626618777</v>
      </c>
      <c r="G33" s="10">
        <f t="shared" si="12"/>
        <v>18313.459005063814</v>
      </c>
    </row>
    <row r="34" spans="1:9" x14ac:dyDescent="0.35">
      <c r="A34" s="5" t="s">
        <v>31</v>
      </c>
      <c r="B34" s="6"/>
      <c r="C34" s="6"/>
      <c r="D34" s="6"/>
      <c r="E34" s="6"/>
      <c r="F34" s="6"/>
      <c r="G34" s="6"/>
    </row>
    <row r="35" spans="1:9" x14ac:dyDescent="0.35">
      <c r="A35" s="7" t="s">
        <v>32</v>
      </c>
      <c r="B35" s="7"/>
      <c r="C35" s="7"/>
      <c r="D35" s="7"/>
      <c r="E35" s="7"/>
      <c r="F35" s="7"/>
      <c r="G35" s="7"/>
    </row>
    <row r="36" spans="1:9" x14ac:dyDescent="0.35">
      <c r="A36" s="4" t="s">
        <v>30</v>
      </c>
      <c r="B36" s="4"/>
      <c r="C36" s="9">
        <f>C33</f>
        <v>8253.75</v>
      </c>
      <c r="D36" s="9">
        <f t="shared" ref="D36:G36" si="13">D33</f>
        <v>6012.54261458172</v>
      </c>
      <c r="E36" s="9">
        <f t="shared" si="13"/>
        <v>10227.725712184163</v>
      </c>
      <c r="F36" s="9">
        <f t="shared" si="13"/>
        <v>13699.746626618777</v>
      </c>
      <c r="G36" s="9">
        <f t="shared" si="13"/>
        <v>18313.459005063814</v>
      </c>
    </row>
    <row r="37" spans="1:9" x14ac:dyDescent="0.35">
      <c r="A37" s="4" t="s">
        <v>26</v>
      </c>
      <c r="B37" s="4"/>
      <c r="C37" s="9">
        <f>C29</f>
        <v>7145</v>
      </c>
      <c r="D37" s="9">
        <f t="shared" ref="D37:G37" si="14">D29</f>
        <v>12245</v>
      </c>
      <c r="E37" s="9">
        <f t="shared" si="14"/>
        <v>8745</v>
      </c>
      <c r="F37" s="9">
        <f t="shared" si="14"/>
        <v>6245</v>
      </c>
      <c r="G37" s="9">
        <f t="shared" si="14"/>
        <v>2232.5</v>
      </c>
    </row>
    <row r="38" spans="1:9" x14ac:dyDescent="0.35">
      <c r="A38" s="7" t="s">
        <v>33</v>
      </c>
      <c r="B38" s="7"/>
      <c r="C38" s="7"/>
      <c r="D38" s="7"/>
      <c r="E38" s="7"/>
      <c r="F38" s="7"/>
      <c r="G38" s="7"/>
    </row>
    <row r="39" spans="1:9" x14ac:dyDescent="0.35">
      <c r="A39" s="4" t="s">
        <v>34</v>
      </c>
      <c r="B39" s="9">
        <f>B3</f>
        <v>50000</v>
      </c>
      <c r="C39" s="4"/>
      <c r="D39" s="4"/>
      <c r="E39" s="4"/>
      <c r="F39" s="4"/>
      <c r="G39" s="4"/>
    </row>
    <row r="40" spans="1:9" x14ac:dyDescent="0.35">
      <c r="A40" s="4" t="s">
        <v>3</v>
      </c>
      <c r="B40" s="4"/>
      <c r="C40" s="4"/>
      <c r="D40" s="4"/>
      <c r="E40" s="4"/>
      <c r="F40" s="4"/>
      <c r="G40" s="9">
        <f>B4</f>
        <v>13800</v>
      </c>
    </row>
    <row r="41" spans="1:9" x14ac:dyDescent="0.35">
      <c r="A41" s="4" t="s">
        <v>35</v>
      </c>
      <c r="B41" s="4"/>
      <c r="C41" s="4"/>
      <c r="D41" s="4"/>
      <c r="E41" s="4"/>
      <c r="F41" s="4"/>
      <c r="G41" s="9">
        <f>B11*(G40-(B39-SUM(C29:G29)))</f>
        <v>103.125</v>
      </c>
      <c r="I41" t="s">
        <v>36</v>
      </c>
    </row>
    <row r="42" spans="1:9" x14ac:dyDescent="0.35">
      <c r="A42" s="7" t="s">
        <v>37</v>
      </c>
      <c r="B42" s="7"/>
      <c r="C42" s="7"/>
      <c r="D42" s="7"/>
      <c r="E42" s="7"/>
      <c r="F42" s="7"/>
      <c r="G42" s="7"/>
      <c r="I42" t="s">
        <v>38</v>
      </c>
    </row>
    <row r="43" spans="1:9" x14ac:dyDescent="0.35">
      <c r="A43" s="4" t="s">
        <v>39</v>
      </c>
      <c r="B43" s="9">
        <f>B13</f>
        <v>10000</v>
      </c>
      <c r="C43" s="4"/>
      <c r="D43" s="4"/>
      <c r="E43" s="4"/>
      <c r="F43" s="4"/>
      <c r="G43" s="4"/>
    </row>
    <row r="44" spans="1:9" x14ac:dyDescent="0.35">
      <c r="A44" s="12" t="s">
        <v>40</v>
      </c>
      <c r="B44" s="13"/>
      <c r="C44" s="16">
        <f>-PPMT($B$14,C18,$G$18,$B$13)</f>
        <v>1738.9069444137406</v>
      </c>
      <c r="D44" s="16">
        <f t="shared" ref="D44:G44" si="15">-PPMT($B$14,D18,$G$18,$B$13)</f>
        <v>1860.6304305227025</v>
      </c>
      <c r="E44" s="16">
        <f t="shared" si="15"/>
        <v>1990.8745606592918</v>
      </c>
      <c r="F44" s="16">
        <f t="shared" si="15"/>
        <v>2130.2357799054421</v>
      </c>
      <c r="G44" s="16">
        <f t="shared" si="15"/>
        <v>2279.3522844988233</v>
      </c>
    </row>
    <row r="45" spans="1:9" x14ac:dyDescent="0.35">
      <c r="A45" s="8" t="s">
        <v>41</v>
      </c>
      <c r="B45" s="10">
        <f>B36+B37-B39+B40-B41+B43-B44</f>
        <v>-40000</v>
      </c>
      <c r="C45" s="10">
        <f>C36+C37-C39+C40-C41+C43-C44</f>
        <v>13659.84305558626</v>
      </c>
      <c r="D45" s="10">
        <f t="shared" ref="D45:G45" si="16">D36+D37-D39+D40-D41+D43-D44</f>
        <v>16396.912184059016</v>
      </c>
      <c r="E45" s="10">
        <f t="shared" si="16"/>
        <v>16981.851151524868</v>
      </c>
      <c r="F45" s="10">
        <f t="shared" si="16"/>
        <v>17814.510846713336</v>
      </c>
      <c r="G45" s="10">
        <f t="shared" si="16"/>
        <v>31963.481720564992</v>
      </c>
    </row>
    <row r="47" spans="1:9" x14ac:dyDescent="0.35">
      <c r="A47" s="14" t="s">
        <v>42</v>
      </c>
      <c r="B47" s="17">
        <f>IRR(B45:G45)</f>
        <v>0.33158021932760451</v>
      </c>
      <c r="C47" t="s">
        <v>43</v>
      </c>
    </row>
    <row r="48" spans="1:9" x14ac:dyDescent="0.35">
      <c r="A48" s="14" t="s">
        <v>44</v>
      </c>
      <c r="B48" s="3">
        <f>NPV(B12,C45:G45)+B45</f>
        <v>14033.916541656399</v>
      </c>
      <c r="C48" t="s">
        <v>45</v>
      </c>
    </row>
  </sheetData>
  <mergeCells count="1">
    <mergeCell ref="M1:V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F4A1-34BC-44F8-9E03-621C4DAEF096}">
  <dimension ref="A1:I48"/>
  <sheetViews>
    <sheetView topLeftCell="B23" workbookViewId="0">
      <selection activeCell="G30" sqref="G30"/>
    </sheetView>
  </sheetViews>
  <sheetFormatPr defaultRowHeight="14.5" x14ac:dyDescent="0.35"/>
  <cols>
    <col min="1" max="1" width="39" bestFit="1" customWidth="1"/>
    <col min="2" max="2" width="12.26953125" bestFit="1" customWidth="1"/>
    <col min="3" max="3" width="15.7265625" bestFit="1" customWidth="1"/>
    <col min="4" max="7" width="11.81640625" bestFit="1" customWidth="1"/>
    <col min="9" max="9" width="30.26953125" bestFit="1" customWidth="1"/>
  </cols>
  <sheetData>
    <row r="1" spans="1:8" x14ac:dyDescent="0.35">
      <c r="A1" s="1" t="s">
        <v>0</v>
      </c>
      <c r="B1" s="1"/>
    </row>
    <row r="2" spans="1:8" x14ac:dyDescent="0.35">
      <c r="E2" t="s">
        <v>1</v>
      </c>
    </row>
    <row r="3" spans="1:8" x14ac:dyDescent="0.35">
      <c r="A3" t="s">
        <v>2</v>
      </c>
      <c r="B3" s="3">
        <v>51000</v>
      </c>
      <c r="E3" s="2"/>
    </row>
    <row r="4" spans="1:8" x14ac:dyDescent="0.35">
      <c r="A4" t="s">
        <v>3</v>
      </c>
      <c r="B4" s="3">
        <v>13500</v>
      </c>
      <c r="E4" s="2"/>
    </row>
    <row r="5" spans="1:8" x14ac:dyDescent="0.35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</row>
    <row r="6" spans="1:8" x14ac:dyDescent="0.35">
      <c r="A6" t="s">
        <v>5</v>
      </c>
      <c r="B6">
        <v>15000</v>
      </c>
      <c r="C6">
        <v>16000</v>
      </c>
      <c r="D6">
        <v>17000</v>
      </c>
      <c r="E6">
        <v>18000</v>
      </c>
      <c r="F6">
        <v>19000</v>
      </c>
    </row>
    <row r="7" spans="1:8" x14ac:dyDescent="0.35">
      <c r="A7" t="s">
        <v>6</v>
      </c>
      <c r="B7" s="3">
        <v>3.2</v>
      </c>
      <c r="C7" t="s">
        <v>7</v>
      </c>
      <c r="E7" s="2"/>
    </row>
    <row r="8" spans="1:8" x14ac:dyDescent="0.35">
      <c r="A8" t="s">
        <v>8</v>
      </c>
      <c r="B8" s="3">
        <v>0.81</v>
      </c>
      <c r="C8" t="s">
        <v>7</v>
      </c>
      <c r="E8" s="2"/>
    </row>
    <row r="9" spans="1:8" x14ac:dyDescent="0.35">
      <c r="A9" t="s">
        <v>9</v>
      </c>
      <c r="B9" s="3">
        <v>0.4</v>
      </c>
      <c r="C9" t="s">
        <v>7</v>
      </c>
      <c r="E9" s="2"/>
    </row>
    <row r="10" spans="1:8" x14ac:dyDescent="0.35">
      <c r="A10" t="s">
        <v>10</v>
      </c>
      <c r="B10" s="3">
        <v>6000</v>
      </c>
      <c r="C10" t="s">
        <v>11</v>
      </c>
      <c r="E10" s="2"/>
    </row>
    <row r="11" spans="1:8" x14ac:dyDescent="0.35">
      <c r="A11" t="s">
        <v>12</v>
      </c>
      <c r="B11" s="2">
        <v>0.25</v>
      </c>
      <c r="E11" s="2"/>
    </row>
    <row r="12" spans="1:8" x14ac:dyDescent="0.35">
      <c r="A12" t="s">
        <v>13</v>
      </c>
      <c r="B12" s="2">
        <v>0.2</v>
      </c>
    </row>
    <row r="13" spans="1:8" x14ac:dyDescent="0.35">
      <c r="A13" t="s">
        <v>14</v>
      </c>
      <c r="B13" s="3">
        <v>10000</v>
      </c>
    </row>
    <row r="14" spans="1:8" x14ac:dyDescent="0.35">
      <c r="A14" t="s">
        <v>15</v>
      </c>
      <c r="B14" s="2">
        <v>7.0000000000000007E-2</v>
      </c>
    </row>
    <row r="16" spans="1:8" x14ac:dyDescent="0.35">
      <c r="A16" t="s">
        <v>16</v>
      </c>
      <c r="B16" s="2">
        <v>0.1429</v>
      </c>
      <c r="C16" s="2">
        <v>0.24490000000000001</v>
      </c>
      <c r="D16" s="2">
        <v>0.1749</v>
      </c>
      <c r="E16" s="2">
        <v>0.1249</v>
      </c>
      <c r="F16" s="2">
        <v>8.9300000000000004E-2</v>
      </c>
      <c r="G16" s="2"/>
      <c r="H16" s="2"/>
    </row>
    <row r="18" spans="1:7" x14ac:dyDescent="0.35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</row>
    <row r="19" spans="1:7" x14ac:dyDescent="0.35">
      <c r="A19" s="5" t="s">
        <v>17</v>
      </c>
      <c r="B19" s="6"/>
      <c r="C19" s="6"/>
      <c r="D19" s="6"/>
      <c r="E19" s="6"/>
      <c r="F19" s="6"/>
      <c r="G19" s="6"/>
    </row>
    <row r="20" spans="1:7" x14ac:dyDescent="0.35">
      <c r="A20" s="7" t="s">
        <v>18</v>
      </c>
      <c r="B20" s="7"/>
      <c r="C20" s="7"/>
      <c r="D20" s="7"/>
      <c r="E20" s="7"/>
      <c r="F20" s="7"/>
      <c r="G20" s="7"/>
    </row>
    <row r="21" spans="1:7" x14ac:dyDescent="0.35">
      <c r="A21" s="4" t="s">
        <v>19</v>
      </c>
      <c r="B21" s="4"/>
      <c r="C21" s="9">
        <f>$B$7</f>
        <v>3.2</v>
      </c>
      <c r="D21" s="9">
        <f t="shared" ref="D21:G21" si="0">$B$7</f>
        <v>3.2</v>
      </c>
      <c r="E21" s="9">
        <f t="shared" si="0"/>
        <v>3.2</v>
      </c>
      <c r="F21" s="9">
        <f t="shared" si="0"/>
        <v>3.2</v>
      </c>
      <c r="G21" s="9">
        <f t="shared" si="0"/>
        <v>3.2</v>
      </c>
    </row>
    <row r="22" spans="1:7" x14ac:dyDescent="0.35">
      <c r="A22" s="4" t="s">
        <v>20</v>
      </c>
      <c r="B22" s="4"/>
      <c r="C22" s="4">
        <f>B6</f>
        <v>15000</v>
      </c>
      <c r="D22" s="4">
        <f t="shared" ref="D22:G22" si="1">C6</f>
        <v>16000</v>
      </c>
      <c r="E22" s="4">
        <f t="shared" si="1"/>
        <v>17000</v>
      </c>
      <c r="F22" s="4">
        <f t="shared" si="1"/>
        <v>18000</v>
      </c>
      <c r="G22" s="4">
        <f t="shared" si="1"/>
        <v>19000</v>
      </c>
    </row>
    <row r="23" spans="1:7" x14ac:dyDescent="0.35">
      <c r="A23" s="4" t="s">
        <v>21</v>
      </c>
      <c r="B23" s="4"/>
      <c r="C23" s="9">
        <f>C21*C22</f>
        <v>48000</v>
      </c>
      <c r="D23" s="9">
        <f>D21*D22</f>
        <v>51200</v>
      </c>
      <c r="E23" s="9">
        <f t="shared" ref="E23" si="2">E21*E22</f>
        <v>54400</v>
      </c>
      <c r="F23" s="9">
        <f>F21*F22</f>
        <v>57600</v>
      </c>
      <c r="G23" s="9">
        <f>G21*G22</f>
        <v>60800</v>
      </c>
    </row>
    <row r="24" spans="1:7" x14ac:dyDescent="0.35">
      <c r="A24" s="7" t="s">
        <v>22</v>
      </c>
      <c r="B24" s="7"/>
      <c r="C24" s="7"/>
      <c r="D24" s="7"/>
      <c r="E24" s="7"/>
      <c r="F24" s="7"/>
      <c r="G24" s="7"/>
    </row>
    <row r="25" spans="1:7" x14ac:dyDescent="0.35">
      <c r="A25" s="4" t="s">
        <v>23</v>
      </c>
      <c r="B25" s="4"/>
      <c r="C25" s="9">
        <f>$B$8*C22</f>
        <v>12150</v>
      </c>
      <c r="D25" s="9">
        <f t="shared" ref="D25:G25" si="3">$B$8*D22</f>
        <v>12960</v>
      </c>
      <c r="E25" s="9">
        <f t="shared" si="3"/>
        <v>13770</v>
      </c>
      <c r="F25" s="9">
        <f t="shared" si="3"/>
        <v>14580.000000000002</v>
      </c>
      <c r="G25" s="9">
        <f t="shared" si="3"/>
        <v>15390.000000000002</v>
      </c>
    </row>
    <row r="26" spans="1:7" x14ac:dyDescent="0.35">
      <c r="A26" s="4" t="s">
        <v>24</v>
      </c>
      <c r="B26" s="4"/>
      <c r="C26" s="9">
        <v>6000</v>
      </c>
      <c r="D26" s="9">
        <v>6000</v>
      </c>
      <c r="E26" s="9">
        <v>6000</v>
      </c>
      <c r="F26" s="9">
        <v>6000</v>
      </c>
      <c r="G26" s="9">
        <v>6000</v>
      </c>
    </row>
    <row r="27" spans="1:7" x14ac:dyDescent="0.35">
      <c r="A27" s="4" t="s">
        <v>25</v>
      </c>
      <c r="B27" s="4"/>
      <c r="C27" s="9">
        <f>$B$9*C22</f>
        <v>6000</v>
      </c>
      <c r="D27" s="9">
        <f t="shared" ref="D27:G27" si="4">$B$9*D22</f>
        <v>6400</v>
      </c>
      <c r="E27" s="9">
        <f t="shared" si="4"/>
        <v>6800</v>
      </c>
      <c r="F27" s="9">
        <f t="shared" si="4"/>
        <v>7200</v>
      </c>
      <c r="G27" s="9">
        <f t="shared" si="4"/>
        <v>7600</v>
      </c>
    </row>
    <row r="28" spans="1:7" x14ac:dyDescent="0.35">
      <c r="A28" s="4" t="s">
        <v>10</v>
      </c>
      <c r="B28" s="4"/>
      <c r="C28" s="9">
        <f>$B$10</f>
        <v>6000</v>
      </c>
      <c r="D28" s="9">
        <f t="shared" ref="D28:G28" si="5">$B$10</f>
        <v>6000</v>
      </c>
      <c r="E28" s="9">
        <f t="shared" si="5"/>
        <v>6000</v>
      </c>
      <c r="F28" s="9">
        <f t="shared" si="5"/>
        <v>6000</v>
      </c>
      <c r="G28" s="9">
        <f t="shared" si="5"/>
        <v>6000</v>
      </c>
    </row>
    <row r="29" spans="1:7" x14ac:dyDescent="0.35">
      <c r="A29" s="4" t="s">
        <v>26</v>
      </c>
      <c r="B29" s="4"/>
      <c r="C29" s="9">
        <f>$B$3*B16</f>
        <v>7287.9</v>
      </c>
      <c r="D29" s="9">
        <f t="shared" ref="D29:F29" si="6">$B$3*C16</f>
        <v>12489.9</v>
      </c>
      <c r="E29" s="9">
        <f t="shared" si="6"/>
        <v>8919.9</v>
      </c>
      <c r="F29" s="9">
        <f t="shared" si="6"/>
        <v>6369.9</v>
      </c>
      <c r="G29" s="9">
        <f>$B$3*(F16/2)</f>
        <v>2277.15</v>
      </c>
    </row>
    <row r="30" spans="1:7" x14ac:dyDescent="0.35">
      <c r="A30" s="4" t="s">
        <v>27</v>
      </c>
      <c r="B30" s="4"/>
      <c r="C30" s="15">
        <f>-IPMT($B$14,C18,$G$18,$B$13)</f>
        <v>700.00000000000011</v>
      </c>
      <c r="D30" s="15">
        <f t="shared" ref="D30:G30" si="7">-IPMT($B$14,D18,$G$18,$B$13)</f>
        <v>578.27651389103823</v>
      </c>
      <c r="E30" s="15">
        <f t="shared" si="7"/>
        <v>448.03238375444897</v>
      </c>
      <c r="F30" s="15">
        <f t="shared" si="7"/>
        <v>308.6711645082986</v>
      </c>
      <c r="G30" s="15">
        <f t="shared" si="7"/>
        <v>159.55465991491764</v>
      </c>
    </row>
    <row r="31" spans="1:7" x14ac:dyDescent="0.35">
      <c r="A31" s="4" t="s">
        <v>28</v>
      </c>
      <c r="B31" s="4"/>
      <c r="C31" s="9">
        <f>C23-SUM(C25:C30)</f>
        <v>9862.0999999999985</v>
      </c>
      <c r="D31" s="9">
        <f>D23-SUM(D25:D30)</f>
        <v>6771.8234861089586</v>
      </c>
      <c r="E31" s="9">
        <f>E23-SUM(E25:E30)</f>
        <v>12462.067616245549</v>
      </c>
      <c r="F31" s="9">
        <f>F23-SUM(F25:F30)</f>
        <v>17141.428835491701</v>
      </c>
      <c r="G31" s="9">
        <f>G23-SUM(G25:G30)</f>
        <v>23373.295340085082</v>
      </c>
    </row>
    <row r="32" spans="1:7" x14ac:dyDescent="0.35">
      <c r="A32" s="4" t="s">
        <v>29</v>
      </c>
      <c r="B32" s="4"/>
      <c r="C32" s="9">
        <f>C31*$B$11</f>
        <v>2465.5249999999996</v>
      </c>
      <c r="D32" s="9">
        <f t="shared" ref="D32:G32" si="8">D31*$B$11</f>
        <v>1692.9558715272397</v>
      </c>
      <c r="E32" s="9">
        <f t="shared" si="8"/>
        <v>3115.5169040613873</v>
      </c>
      <c r="F32" s="9">
        <f t="shared" si="8"/>
        <v>4285.3572088729252</v>
      </c>
      <c r="G32" s="9">
        <f t="shared" si="8"/>
        <v>5843.3238350212705</v>
      </c>
    </row>
    <row r="33" spans="1:9" x14ac:dyDescent="0.35">
      <c r="A33" s="8" t="s">
        <v>30</v>
      </c>
      <c r="B33" s="8"/>
      <c r="C33" s="10">
        <f>C31-C32</f>
        <v>7396.5749999999989</v>
      </c>
      <c r="D33" s="10">
        <f t="shared" ref="D33:G33" si="9">D31-D32</f>
        <v>5078.867614581719</v>
      </c>
      <c r="E33" s="10">
        <f t="shared" si="9"/>
        <v>9346.550712184162</v>
      </c>
      <c r="F33" s="10">
        <f t="shared" si="9"/>
        <v>12856.071626618776</v>
      </c>
      <c r="G33" s="10">
        <f t="shared" si="9"/>
        <v>17529.971505063811</v>
      </c>
    </row>
    <row r="34" spans="1:9" x14ac:dyDescent="0.35">
      <c r="A34" s="5" t="s">
        <v>31</v>
      </c>
      <c r="B34" s="6"/>
      <c r="C34" s="6"/>
      <c r="D34" s="6"/>
      <c r="E34" s="6"/>
      <c r="F34" s="6"/>
      <c r="G34" s="6"/>
    </row>
    <row r="35" spans="1:9" x14ac:dyDescent="0.35">
      <c r="A35" s="7" t="s">
        <v>32</v>
      </c>
      <c r="B35" s="7"/>
      <c r="C35" s="7"/>
      <c r="D35" s="7"/>
      <c r="E35" s="7"/>
      <c r="F35" s="7"/>
      <c r="G35" s="7"/>
    </row>
    <row r="36" spans="1:9" x14ac:dyDescent="0.35">
      <c r="A36" s="4" t="s">
        <v>30</v>
      </c>
      <c r="B36" s="4"/>
      <c r="C36" s="9">
        <f>C33</f>
        <v>7396.5749999999989</v>
      </c>
      <c r="D36" s="9">
        <f t="shared" ref="D36:G36" si="10">D33</f>
        <v>5078.867614581719</v>
      </c>
      <c r="E36" s="9">
        <f t="shared" si="10"/>
        <v>9346.550712184162</v>
      </c>
      <c r="F36" s="9">
        <f t="shared" si="10"/>
        <v>12856.071626618776</v>
      </c>
      <c r="G36" s="9">
        <f t="shared" si="10"/>
        <v>17529.971505063811</v>
      </c>
    </row>
    <row r="37" spans="1:9" x14ac:dyDescent="0.35">
      <c r="A37" s="4" t="s">
        <v>26</v>
      </c>
      <c r="B37" s="4"/>
      <c r="C37" s="9">
        <f>C29</f>
        <v>7287.9</v>
      </c>
      <c r="D37" s="9">
        <f t="shared" ref="D37:G37" si="11">D29</f>
        <v>12489.9</v>
      </c>
      <c r="E37" s="9">
        <f t="shared" si="11"/>
        <v>8919.9</v>
      </c>
      <c r="F37" s="9">
        <f t="shared" si="11"/>
        <v>6369.9</v>
      </c>
      <c r="G37" s="9">
        <f t="shared" si="11"/>
        <v>2277.15</v>
      </c>
    </row>
    <row r="38" spans="1:9" x14ac:dyDescent="0.35">
      <c r="A38" s="7" t="s">
        <v>33</v>
      </c>
      <c r="B38" s="7"/>
      <c r="C38" s="7"/>
      <c r="D38" s="7"/>
      <c r="E38" s="7"/>
      <c r="F38" s="7"/>
      <c r="G38" s="7"/>
    </row>
    <row r="39" spans="1:9" x14ac:dyDescent="0.35">
      <c r="A39" s="4" t="s">
        <v>34</v>
      </c>
      <c r="B39" s="9">
        <f>B3</f>
        <v>51000</v>
      </c>
      <c r="C39" s="4"/>
      <c r="D39" s="4"/>
      <c r="E39" s="4"/>
      <c r="F39" s="4"/>
      <c r="G39" s="4"/>
    </row>
    <row r="40" spans="1:9" x14ac:dyDescent="0.35">
      <c r="A40" s="4" t="s">
        <v>3</v>
      </c>
      <c r="B40" s="4"/>
      <c r="C40" s="4"/>
      <c r="D40" s="4"/>
      <c r="E40" s="4"/>
      <c r="F40" s="4"/>
      <c r="G40" s="9">
        <f>B4</f>
        <v>13500</v>
      </c>
    </row>
    <row r="41" spans="1:9" x14ac:dyDescent="0.35">
      <c r="A41" s="4" t="s">
        <v>35</v>
      </c>
      <c r="B41" s="4"/>
      <c r="C41" s="4"/>
      <c r="D41" s="4"/>
      <c r="E41" s="4"/>
      <c r="F41" s="4"/>
      <c r="G41" s="9">
        <f>B11*(G40-(B39-SUM(C29:G29)))</f>
        <v>-38.8125</v>
      </c>
      <c r="I41" t="s">
        <v>36</v>
      </c>
    </row>
    <row r="42" spans="1:9" x14ac:dyDescent="0.35">
      <c r="A42" s="7" t="s">
        <v>37</v>
      </c>
      <c r="B42" s="7"/>
      <c r="C42" s="7"/>
      <c r="D42" s="7"/>
      <c r="E42" s="7"/>
      <c r="F42" s="7"/>
      <c r="G42" s="7"/>
      <c r="I42" t="s">
        <v>38</v>
      </c>
    </row>
    <row r="43" spans="1:9" x14ac:dyDescent="0.35">
      <c r="A43" s="4" t="s">
        <v>39</v>
      </c>
      <c r="B43" s="9">
        <f>B13</f>
        <v>10000</v>
      </c>
      <c r="C43" s="4"/>
      <c r="D43" s="4"/>
      <c r="E43" s="4"/>
      <c r="F43" s="4"/>
      <c r="G43" s="4"/>
    </row>
    <row r="44" spans="1:9" x14ac:dyDescent="0.35">
      <c r="A44" s="12" t="s">
        <v>40</v>
      </c>
      <c r="B44" s="13"/>
      <c r="C44" s="16">
        <f>-PPMT($B$14,C18,$G$18,$B$13)</f>
        <v>1738.9069444137406</v>
      </c>
      <c r="D44" s="16">
        <f t="shared" ref="D44:G44" si="12">-PPMT($B$14,D18,$G$18,$B$13)</f>
        <v>1860.6304305227025</v>
      </c>
      <c r="E44" s="16">
        <f t="shared" si="12"/>
        <v>1990.8745606592918</v>
      </c>
      <c r="F44" s="16">
        <f t="shared" si="12"/>
        <v>2130.2357799054421</v>
      </c>
      <c r="G44" s="16">
        <f t="shared" si="12"/>
        <v>2279.3522844988233</v>
      </c>
    </row>
    <row r="45" spans="1:9" x14ac:dyDescent="0.35">
      <c r="A45" s="8" t="s">
        <v>41</v>
      </c>
      <c r="B45" s="10">
        <f>B36+B37-B39+B40-B41+B43-B44</f>
        <v>-41000</v>
      </c>
      <c r="C45" s="10">
        <f>C36+C37-C39+C40-C41+C43-C44</f>
        <v>12945.568055586258</v>
      </c>
      <c r="D45" s="10">
        <f t="shared" ref="D45:G45" si="13">D36+D37-D39+D40-D41+D43-D44</f>
        <v>15708.137184059015</v>
      </c>
      <c r="E45" s="10">
        <f t="shared" si="13"/>
        <v>16275.576151524869</v>
      </c>
      <c r="F45" s="10">
        <f t="shared" si="13"/>
        <v>17095.735846713334</v>
      </c>
      <c r="G45" s="10">
        <f t="shared" si="13"/>
        <v>31066.581720564991</v>
      </c>
    </row>
    <row r="47" spans="1:9" x14ac:dyDescent="0.35">
      <c r="A47" s="14" t="s">
        <v>42</v>
      </c>
      <c r="B47" s="17">
        <f>IRR(B45:G45)</f>
        <v>0.30015399050219926</v>
      </c>
      <c r="C47" t="s">
        <v>43</v>
      </c>
    </row>
    <row r="48" spans="1:9" x14ac:dyDescent="0.35">
      <c r="A48" s="14" t="s">
        <v>44</v>
      </c>
      <c r="B48" s="3">
        <f>NPV(B12,C45:G45)+B45</f>
        <v>10844.571987901247</v>
      </c>
      <c r="C4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4C7F-763D-43D9-B1DC-92AEEDEC3DA6}">
  <dimension ref="A1:H10"/>
  <sheetViews>
    <sheetView workbookViewId="0">
      <selection activeCell="I2" sqref="I2"/>
    </sheetView>
  </sheetViews>
  <sheetFormatPr defaultRowHeight="14.5" x14ac:dyDescent="0.35"/>
  <cols>
    <col min="1" max="1" width="7.453125" bestFit="1" customWidth="1"/>
    <col min="2" max="2" width="49.7265625" bestFit="1" customWidth="1"/>
    <col min="3" max="3" width="14.81640625" bestFit="1" customWidth="1"/>
    <col min="4" max="4" width="21.26953125" bestFit="1" customWidth="1"/>
    <col min="5" max="5" width="19.81640625" bestFit="1" customWidth="1"/>
    <col min="6" max="6" width="11.1796875" bestFit="1" customWidth="1"/>
    <col min="8" max="8" width="43.26953125" bestFit="1" customWidth="1"/>
  </cols>
  <sheetData>
    <row r="1" spans="1:8" x14ac:dyDescent="0.35">
      <c r="C1" t="s">
        <v>55</v>
      </c>
      <c r="D1" t="s">
        <v>56</v>
      </c>
      <c r="E1" t="s">
        <v>57</v>
      </c>
    </row>
    <row r="2" spans="1:8" x14ac:dyDescent="0.35">
      <c r="A2" s="42" t="s">
        <v>58</v>
      </c>
      <c r="B2" s="43" t="s">
        <v>59</v>
      </c>
      <c r="C2" s="43">
        <v>23000</v>
      </c>
      <c r="D2" s="43">
        <v>2000</v>
      </c>
      <c r="E2" s="43">
        <v>2</v>
      </c>
      <c r="F2" s="51">
        <f>(C2+D2)*E2</f>
        <v>50000</v>
      </c>
    </row>
    <row r="3" spans="1:8" x14ac:dyDescent="0.35">
      <c r="A3" s="45" t="s">
        <v>60</v>
      </c>
      <c r="B3" t="s">
        <v>59</v>
      </c>
      <c r="C3">
        <v>15000</v>
      </c>
      <c r="D3">
        <v>2000</v>
      </c>
      <c r="E3">
        <v>3</v>
      </c>
      <c r="F3" s="52">
        <f>(C3+D3)*E3</f>
        <v>51000</v>
      </c>
    </row>
    <row r="4" spans="1:8" x14ac:dyDescent="0.35">
      <c r="A4" s="46"/>
      <c r="B4" s="57" t="s">
        <v>61</v>
      </c>
      <c r="C4" s="57"/>
      <c r="D4" s="57"/>
      <c r="E4" s="57"/>
      <c r="F4" s="58"/>
    </row>
    <row r="6" spans="1:8" x14ac:dyDescent="0.35">
      <c r="B6" s="42" t="s">
        <v>62</v>
      </c>
      <c r="C6" s="54">
        <f>0.3*(C2)*E2</f>
        <v>13800</v>
      </c>
      <c r="D6" s="44" t="s">
        <v>63</v>
      </c>
    </row>
    <row r="7" spans="1:8" x14ac:dyDescent="0.35">
      <c r="B7" s="46"/>
      <c r="C7" s="55">
        <f>0.3*(C3)*E3</f>
        <v>13500</v>
      </c>
      <c r="D7" s="47" t="s">
        <v>64</v>
      </c>
    </row>
    <row r="10" spans="1:8" ht="58" x14ac:dyDescent="0.35">
      <c r="B10" s="48" t="s">
        <v>65</v>
      </c>
      <c r="C10" s="49" t="s">
        <v>66</v>
      </c>
      <c r="D10" s="49" t="s">
        <v>67</v>
      </c>
      <c r="E10" s="50" t="s">
        <v>68</v>
      </c>
      <c r="F10" s="50" t="s">
        <v>69</v>
      </c>
      <c r="G10" s="50" t="s">
        <v>70</v>
      </c>
      <c r="H10" s="53" t="s">
        <v>71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Machine type 1</vt:lpstr>
      <vt:lpstr>Machine type 2</vt:lpstr>
      <vt:lpstr>Type 1 with loan</vt:lpstr>
      <vt:lpstr>Type 2 with loan</vt:lpstr>
      <vt:lpstr>Calculations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Murphy</dc:creator>
  <cp:keywords/>
  <dc:description/>
  <cp:lastModifiedBy>Jacob Howard</cp:lastModifiedBy>
  <cp:revision/>
  <dcterms:created xsi:type="dcterms:W3CDTF">2021-11-01T15:00:05Z</dcterms:created>
  <dcterms:modified xsi:type="dcterms:W3CDTF">2021-11-04T21:39:35Z</dcterms:modified>
  <cp:category/>
  <cp:contentStatus/>
</cp:coreProperties>
</file>