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324"/>
  <workbookPr defaultThemeVersion="124226"/>
  <mc:AlternateContent xmlns:mc="http://schemas.openxmlformats.org/markup-compatibility/2006">
    <mc:Choice Requires="x15">
      <x15ac:absPath xmlns:x15ac="http://schemas.microsoft.com/office/spreadsheetml/2010/11/ac" url="C:\Users\Oscar_CIO\Documents\Maestria\2do Semestre\1 Gestion de Riesgos Ciberneticos\Trabajo SGSI\Doc\Entrega\"/>
    </mc:Choice>
  </mc:AlternateContent>
  <xr:revisionPtr revIDLastSave="0" documentId="13_ncr:1_{F7C7E919-0714-47C0-B906-E42042D29009}" xr6:coauthVersionLast="47" xr6:coauthVersionMax="47" xr10:uidLastSave="{00000000-0000-0000-0000-000000000000}"/>
  <bookViews>
    <workbookView xWindow="-120" yWindow="-120" windowWidth="29040" windowHeight="15840" xr2:uid="{00000000-000D-0000-FFFF-FFFF00000000}"/>
  </bookViews>
  <sheets>
    <sheet name="Riesgo Inherente" sheetId="1" r:id="rId1"/>
    <sheet name="Mapa de Calor" sheetId="2" r:id="rId2"/>
    <sheet name="Controles" sheetId="3" r:id="rId3"/>
    <sheet name="Categoria" sheetId="4" r:id="rId4"/>
  </sheets>
  <externalReferences>
    <externalReference r:id="rId5"/>
  </externalReferences>
  <definedNames>
    <definedName name="_xlnm._FilterDatabase" localSheetId="0" hidden="1">'Riesgo Inherente'!$B$8:$N$32</definedName>
    <definedName name="CConfidencialidad">#REF!</definedName>
    <definedName name="CDisponibilidad">#REF!</definedName>
    <definedName name="CImpactos">#REF!</definedName>
    <definedName name="CIntegridad">#REF!</definedName>
    <definedName name="CProbabilidad">#REF!</definedName>
    <definedName name="Impactos">#REF!</definedName>
    <definedName name="Lprocesos">[1]Procesos!$A$3:$A$49</definedName>
    <definedName name="LProcesos1">#REF!</definedName>
    <definedName name="LProcesos2">#REF!</definedName>
    <definedName name="Procesos3">#REF!</definedName>
    <definedName name="Sinformacion">#REF!</definedName>
    <definedName name="Sinformacion2">#REF!</definedName>
    <definedName name="Sinformacion3">#REF!</definedName>
    <definedName name="TActivos">#REF!</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13" i="3" l="1"/>
  <c r="C13" i="3" s="1"/>
  <c r="B27" i="3"/>
  <c r="C27" i="3" s="1"/>
  <c r="B26" i="3"/>
  <c r="C26" i="3" s="1"/>
  <c r="B25" i="3"/>
  <c r="C25" i="3" s="1"/>
  <c r="B24" i="3"/>
  <c r="C24" i="3" s="1"/>
  <c r="B23" i="3"/>
  <c r="C23" i="3" s="1"/>
  <c r="B22" i="3"/>
  <c r="C22" i="3" s="1"/>
  <c r="B21" i="3"/>
  <c r="C21" i="3" s="1"/>
  <c r="B20" i="3"/>
  <c r="C20" i="3" s="1"/>
  <c r="B19" i="3"/>
  <c r="C19" i="3" s="1"/>
  <c r="B18" i="3"/>
  <c r="C18" i="3" s="1"/>
  <c r="B17" i="3"/>
  <c r="C17" i="3" s="1"/>
  <c r="B16" i="3"/>
  <c r="C16" i="3" s="1"/>
  <c r="B15" i="3"/>
  <c r="C15" i="3" s="1"/>
  <c r="B14" i="3"/>
  <c r="C14" i="3" s="1"/>
  <c r="B12" i="3"/>
  <c r="C12" i="3" s="1"/>
  <c r="B11" i="3"/>
  <c r="C11" i="3" s="1"/>
  <c r="B10" i="3"/>
  <c r="C10" i="3" s="1"/>
  <c r="B9" i="3"/>
  <c r="C9" i="3" s="1"/>
  <c r="B8" i="3"/>
  <c r="C8" i="3" s="1"/>
  <c r="B7" i="3"/>
  <c r="C7" i="3" s="1"/>
  <c r="B6" i="3"/>
  <c r="C6" i="3" s="1"/>
  <c r="B5" i="3"/>
  <c r="C5" i="3" s="1"/>
  <c r="B4" i="3"/>
  <c r="C4" i="3" s="1"/>
  <c r="J5" i="2" l="1"/>
  <c r="I5" i="2"/>
  <c r="H5" i="2"/>
  <c r="G5" i="2"/>
  <c r="F5" i="2"/>
  <c r="J6" i="2"/>
  <c r="I6" i="2"/>
  <c r="H6" i="2"/>
  <c r="G6" i="2"/>
  <c r="F6" i="2"/>
  <c r="J7" i="2"/>
  <c r="I7" i="2"/>
  <c r="H7" i="2"/>
  <c r="G7" i="2"/>
  <c r="F7" i="2"/>
  <c r="J8" i="2"/>
  <c r="I8" i="2"/>
  <c r="H8" i="2"/>
  <c r="G8" i="2"/>
  <c r="F8" i="2"/>
  <c r="J9" i="2"/>
  <c r="I9" i="2"/>
  <c r="H9" i="2"/>
  <c r="G9" i="2"/>
  <c r="F9" i="2"/>
  <c r="J10" i="1" l="1"/>
  <c r="L10" i="1"/>
  <c r="J11" i="1"/>
  <c r="L11" i="1"/>
  <c r="J12" i="1"/>
  <c r="L12" i="1"/>
  <c r="L32" i="1"/>
  <c r="L31" i="1"/>
  <c r="L30" i="1"/>
  <c r="L29" i="1"/>
  <c r="J32" i="1"/>
  <c r="J31" i="1"/>
  <c r="J30" i="1"/>
  <c r="J29" i="1"/>
  <c r="M12" i="1" l="1"/>
  <c r="N12" i="1" s="1"/>
  <c r="D7" i="3" s="1"/>
  <c r="M11" i="1"/>
  <c r="N11" i="1" s="1"/>
  <c r="D6" i="3" s="1"/>
  <c r="M10" i="1"/>
  <c r="N10" i="1" s="1"/>
  <c r="D5" i="3" s="1"/>
  <c r="M30" i="1"/>
  <c r="N30" i="1" s="1"/>
  <c r="D25" i="3" s="1"/>
  <c r="M32" i="1"/>
  <c r="N32" i="1" s="1"/>
  <c r="D27" i="3" s="1"/>
  <c r="M29" i="1"/>
  <c r="N29" i="1" s="1"/>
  <c r="D24" i="3" s="1"/>
  <c r="M31" i="1"/>
  <c r="N31" i="1" s="1"/>
  <c r="D26" i="3" s="1"/>
  <c r="L9" i="1"/>
  <c r="J9" i="1"/>
  <c r="J13" i="1"/>
  <c r="L13" i="1"/>
  <c r="J14" i="1"/>
  <c r="L14" i="1"/>
  <c r="J15" i="1"/>
  <c r="L15" i="1"/>
  <c r="J16" i="1"/>
  <c r="L16" i="1"/>
  <c r="J17" i="1"/>
  <c r="L17" i="1"/>
  <c r="J18" i="1"/>
  <c r="L18" i="1"/>
  <c r="J19" i="1"/>
  <c r="L19" i="1"/>
  <c r="J20" i="1"/>
  <c r="L20" i="1"/>
  <c r="J21" i="1"/>
  <c r="L21" i="1"/>
  <c r="J22" i="1"/>
  <c r="L22" i="1"/>
  <c r="J23" i="1"/>
  <c r="L23" i="1"/>
  <c r="J24" i="1"/>
  <c r="L24" i="1"/>
  <c r="J25" i="1"/>
  <c r="L25" i="1"/>
  <c r="J26" i="1"/>
  <c r="L26" i="1"/>
  <c r="J27" i="1"/>
  <c r="L27" i="1"/>
  <c r="J28" i="1"/>
  <c r="L28" i="1"/>
  <c r="M26" i="1" l="1"/>
  <c r="N26" i="1" s="1"/>
  <c r="D21" i="3" s="1"/>
  <c r="M20" i="1"/>
  <c r="N20" i="1" s="1"/>
  <c r="D15" i="3" s="1"/>
  <c r="M28" i="1"/>
  <c r="N28" i="1" s="1"/>
  <c r="D23" i="3" s="1"/>
  <c r="M27" i="1"/>
  <c r="N27" i="1" s="1"/>
  <c r="D22" i="3" s="1"/>
  <c r="M25" i="1"/>
  <c r="N25" i="1" s="1"/>
  <c r="D20" i="3" s="1"/>
  <c r="M24" i="1"/>
  <c r="N24" i="1" s="1"/>
  <c r="D19" i="3" s="1"/>
  <c r="M16" i="1"/>
  <c r="N16" i="1" s="1"/>
  <c r="D11" i="3" s="1"/>
  <c r="M15" i="1"/>
  <c r="N15" i="1" s="1"/>
  <c r="D10" i="3" s="1"/>
  <c r="M13" i="1"/>
  <c r="N13" i="1" s="1"/>
  <c r="D8" i="3" s="1"/>
  <c r="M9" i="1"/>
  <c r="N9" i="1" s="1"/>
  <c r="M22" i="1"/>
  <c r="N22" i="1" s="1"/>
  <c r="D17" i="3" s="1"/>
  <c r="M19" i="1"/>
  <c r="N19" i="1" s="1"/>
  <c r="D14" i="3" s="1"/>
  <c r="M18" i="1"/>
  <c r="N18" i="1" s="1"/>
  <c r="D13" i="3" s="1"/>
  <c r="M17" i="1"/>
  <c r="N17" i="1" s="1"/>
  <c r="D12" i="3" s="1"/>
  <c r="M23" i="1"/>
  <c r="N23" i="1" s="1"/>
  <c r="D18" i="3" s="1"/>
  <c r="M21" i="1"/>
  <c r="N21" i="1" s="1"/>
  <c r="D16" i="3" s="1"/>
  <c r="M14" i="1"/>
  <c r="N14" i="1" s="1"/>
  <c r="D9" i="3" s="1"/>
  <c r="M8" i="2" l="1"/>
  <c r="D4" i="3"/>
  <c r="M7" i="2"/>
  <c r="M6" i="2"/>
  <c r="M5" i="2"/>
  <c r="O6" i="2" l="1"/>
  <c r="O7"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Jairo Hernan Pantoja Moncayo</author>
    <author>Carlos Villamizar</author>
    <author>jairuX</author>
  </authors>
  <commentList>
    <comment ref="C8" authorId="0" shapeId="0" xr:uid="{00000000-0006-0000-0000-000001000000}">
      <text>
        <r>
          <rPr>
            <sz val="10"/>
            <color indexed="81"/>
            <rFont val="Tahoma"/>
            <family val="2"/>
          </rPr>
          <t xml:space="preserve">Proceso de negocio en los cuales tiene implicación directa el activo a evaluar
</t>
        </r>
      </text>
    </comment>
    <comment ref="D8" authorId="0" shapeId="0" xr:uid="{00000000-0006-0000-0000-000002000000}">
      <text>
        <r>
          <rPr>
            <sz val="10"/>
            <color indexed="81"/>
            <rFont val="Tahoma"/>
            <family val="2"/>
          </rPr>
          <t>Activo de información: Un activo es algo que tiene valor para la organización y por lo tanto requiere protección
(Ej: sistemas de información , plataformas, o activos que soportan al proceso de negocio).</t>
        </r>
      </text>
    </comment>
    <comment ref="E8" authorId="0" shapeId="0" xr:uid="{00000000-0006-0000-0000-000003000000}">
      <text>
        <r>
          <rPr>
            <sz val="10"/>
            <color indexed="81"/>
            <rFont val="Tahoma"/>
            <family val="2"/>
          </rPr>
          <t xml:space="preserve">Clasificación del activo de información de acuerdo al tipo al cual pertenece. </t>
        </r>
      </text>
    </comment>
    <comment ref="F8" authorId="0" shapeId="0" xr:uid="{00000000-0006-0000-0000-000004000000}">
      <text>
        <r>
          <rPr>
            <sz val="10"/>
            <color indexed="81"/>
            <rFont val="Tahoma"/>
            <family val="2"/>
          </rPr>
          <t xml:space="preserve">Circunstancia o evento que tiene el potencial de causar daño a un activo y por lo tanto a la organización. </t>
        </r>
      </text>
    </comment>
    <comment ref="G8" authorId="0" shapeId="0" xr:uid="{00000000-0006-0000-0000-000005000000}">
      <text>
        <r>
          <rPr>
            <sz val="10"/>
            <color indexed="81"/>
            <rFont val="Tahoma"/>
            <family val="2"/>
          </rPr>
          <t>Debilidad inherente al activo. Su presencia no causa daño por sí misma, ya que necesita presentarse una amenaza que la explote. La falta de un control también puede considerarse una vulnerabilidad.</t>
        </r>
      </text>
    </comment>
    <comment ref="H8" authorId="0" shapeId="0" xr:uid="{00000000-0006-0000-0000-000006000000}">
      <text>
        <r>
          <rPr>
            <sz val="10"/>
            <color indexed="81"/>
            <rFont val="Tahoma"/>
            <family val="2"/>
          </rPr>
          <t>Escenario de impacto (riesgo del negocio) al materializarse la amenaza sobre el proceso en el que interviene</t>
        </r>
      </text>
    </comment>
    <comment ref="I8" authorId="0" shapeId="0" xr:uid="{00000000-0006-0000-0000-000007000000}">
      <text>
        <r>
          <rPr>
            <sz val="10"/>
            <color indexed="81"/>
            <rFont val="Tahoma"/>
            <family val="2"/>
          </rPr>
          <t>Ingrese el nivel de impacto teniendo en cuenta teniendo en cuenta la escala establecida.</t>
        </r>
      </text>
    </comment>
    <comment ref="J8" authorId="1" shapeId="0" xr:uid="{00000000-0006-0000-0000-000008000000}">
      <text>
        <r>
          <rPr>
            <sz val="9"/>
            <color indexed="81"/>
            <rFont val="Tahoma"/>
            <family val="2"/>
          </rPr>
          <t xml:space="preserve">Peso asociado al Impacto de acuerdo al nivel de Impacto seleccionado </t>
        </r>
      </text>
    </comment>
    <comment ref="K8" authorId="0" shapeId="0" xr:uid="{00000000-0006-0000-0000-000009000000}">
      <text>
        <r>
          <rPr>
            <sz val="10"/>
            <color indexed="81"/>
            <rFont val="Tahoma"/>
            <family val="2"/>
          </rPr>
          <t xml:space="preserve">Califique la probabilidad que una vulnerabilidad pueda ser explotada por una fuente de amenaza de acuerdo a la escala propuesta. </t>
        </r>
      </text>
    </comment>
    <comment ref="L8" authorId="1" shapeId="0" xr:uid="{00000000-0006-0000-0000-00000A000000}">
      <text>
        <r>
          <rPr>
            <sz val="9"/>
            <color indexed="81"/>
            <rFont val="Tahoma"/>
            <family val="2"/>
          </rPr>
          <t xml:space="preserve">Peso asociado a la probabilidad de acuerdo al nivel de probabilidad seleccionado </t>
        </r>
      </text>
    </comment>
    <comment ref="M8" authorId="2" shapeId="0" xr:uid="{00000000-0006-0000-0000-00000B000000}">
      <text>
        <r>
          <rPr>
            <sz val="10"/>
            <color indexed="81"/>
            <rFont val="Tahoma"/>
            <family val="2"/>
          </rPr>
          <t xml:space="preserve">Determinación final del nivel de riesgo, resultado de multiplicar el  valor asignado a la probabilidad de una amenaza por el valor asignado a la magnitud del impacto, es decir:
</t>
        </r>
        <r>
          <rPr>
            <b/>
            <sz val="10"/>
            <color indexed="81"/>
            <rFont val="Tahoma"/>
            <family val="2"/>
          </rPr>
          <t>Riesgo Inherente = Peso Probabilidad x Peso Impacto</t>
        </r>
      </text>
    </comment>
    <comment ref="N8" authorId="2" shapeId="0" xr:uid="{00000000-0006-0000-0000-00000C000000}">
      <text>
        <r>
          <rPr>
            <sz val="10"/>
            <color indexed="81"/>
            <rFont val="Tahoma"/>
            <family val="2"/>
          </rPr>
          <t>Nivel del riesgo inherente de acuerdo a la escala establecida en la Matriz de evaluación</t>
        </r>
      </text>
    </comment>
  </commentList>
</comments>
</file>

<file path=xl/sharedStrings.xml><?xml version="1.0" encoding="utf-8"?>
<sst xmlns="http://schemas.openxmlformats.org/spreadsheetml/2006/main" count="334" uniqueCount="171">
  <si>
    <t>Id</t>
  </si>
  <si>
    <t>Proceso de Negocio</t>
  </si>
  <si>
    <t>Activo de Información</t>
  </si>
  <si>
    <t>Categoría de Activo</t>
  </si>
  <si>
    <t>Amenaza</t>
  </si>
  <si>
    <t>Vulnerabilidad</t>
  </si>
  <si>
    <t>Riesgo del Proceso (Consecuencia)</t>
  </si>
  <si>
    <t>Impacto</t>
  </si>
  <si>
    <t>Peso Impacto</t>
  </si>
  <si>
    <t>Probabilidad</t>
  </si>
  <si>
    <t>Peso Probabilidad</t>
  </si>
  <si>
    <t>Riesgo Inherente</t>
  </si>
  <si>
    <t>Nivel Riesgo Inherente</t>
  </si>
  <si>
    <t>Pedidos de ventas - Documento</t>
  </si>
  <si>
    <t>Información</t>
  </si>
  <si>
    <t>Pérdida de información</t>
  </si>
  <si>
    <t>A</t>
  </si>
  <si>
    <t>M</t>
  </si>
  <si>
    <t>Hardware</t>
  </si>
  <si>
    <t>Virus informático</t>
  </si>
  <si>
    <t>Servicio de electricidad</t>
  </si>
  <si>
    <t>Instalaciones Físicas</t>
  </si>
  <si>
    <t>Información de OP y Ventas</t>
  </si>
  <si>
    <t>Modificación de información</t>
  </si>
  <si>
    <t>Firewall</t>
  </si>
  <si>
    <t>Portal Web</t>
  </si>
  <si>
    <t>Software</t>
  </si>
  <si>
    <t>Correo Electrónico</t>
  </si>
  <si>
    <t>Copias de Seguridad</t>
  </si>
  <si>
    <t>Licencias</t>
  </si>
  <si>
    <t>Personal con Alto Valor</t>
  </si>
  <si>
    <t>Personal</t>
  </si>
  <si>
    <t>Servidores Alpha, Delta, Omega, Epsilon</t>
  </si>
  <si>
    <t>Terminales Think Client</t>
  </si>
  <si>
    <t>Impresoras</t>
  </si>
  <si>
    <t>Switches</t>
  </si>
  <si>
    <t>Hubs</t>
  </si>
  <si>
    <t>UPS</t>
  </si>
  <si>
    <t>Access point</t>
  </si>
  <si>
    <t>Bases de Datos</t>
  </si>
  <si>
    <t>Maquinaria de la planta</t>
  </si>
  <si>
    <t>Contratos - Documentos</t>
  </si>
  <si>
    <t>Redes físicas de Datos</t>
  </si>
  <si>
    <t>Comunicaciones</t>
  </si>
  <si>
    <t>Servidor Gamma - Correo</t>
  </si>
  <si>
    <t>Servidor Betha - BdD</t>
  </si>
  <si>
    <t>Categoría de activo</t>
  </si>
  <si>
    <t>Muy Alto. La explotación de la vulnerabilidad puede resultar en: (1) Altos costos por pérdida de activos o recursos tangibles (2) Violencia significativa, daño o impedimento del logro de los objetivos de la organización, reputación o intereses (3) Pérdida de vidas humanas o daños serios a la salud.</t>
  </si>
  <si>
    <t>Muy Frecuente: Sucede casi siempre cuando falla el control</t>
  </si>
  <si>
    <t>M+</t>
  </si>
  <si>
    <t xml:space="preserve">Alto. La explotación de la vulnerabilidad puede resultar en: (1) Costos por perdidas de activos o recursos tangibles (2) Violencia, daño o impedimento del logro de los objetivos de la organización, reputación o intereses (3) Daños a la salud humana. </t>
  </si>
  <si>
    <t>Frecuente: Sucede con alguna frecuencia cuando falla el control</t>
  </si>
  <si>
    <t xml:space="preserve">Medio. Pérdida financiera significativa, amenaza con perdida de imagen de la Organización. </t>
  </si>
  <si>
    <t>Moderado: Puede suceder y ya ha ocurrido ocasionalmente</t>
  </si>
  <si>
    <t>M-</t>
  </si>
  <si>
    <t>Bajo. No afecta pérdida de ingresos o imagen considerablemente.</t>
  </si>
  <si>
    <t>Eventual: No ha sucedido aun pero puede ocurrir</t>
  </si>
  <si>
    <t>B</t>
  </si>
  <si>
    <t>Menor. La explotación de la vulnerabilidad puede resultar en: (1) Daños menores a los activos o recursos tangibles o (2) afectación mìnima de la misión, objetivos o intereses de la organización.</t>
  </si>
  <si>
    <t>Rara vez: Concebible solo en condiciones extremas</t>
  </si>
  <si>
    <t>Area Procesamiento de Datos</t>
  </si>
  <si>
    <t>Falla de Equipo</t>
  </si>
  <si>
    <t>Funcionamiento deficiente del equipo</t>
  </si>
  <si>
    <t>Copia fraudulenta de datos</t>
  </si>
  <si>
    <t>Daños por agua</t>
  </si>
  <si>
    <t>Hacker</t>
  </si>
  <si>
    <t>Falla de equipo</t>
  </si>
  <si>
    <t>Falta o ausencia de mantenimiento</t>
  </si>
  <si>
    <t>Ausencia de programa de reemplazo de partes</t>
  </si>
  <si>
    <t>Inadecuada gestión de elementos de red</t>
  </si>
  <si>
    <t>Tablas de claves desprotegidas</t>
  </si>
  <si>
    <t>Ausencia de protecciones físicas en puertas y ventanas</t>
  </si>
  <si>
    <t>Ausencia de mecanismos para identificación y autenticación de usuarios</t>
  </si>
  <si>
    <t>Ausencia de procedimientos para clasificación de información</t>
  </si>
  <si>
    <t>Revelación de información</t>
  </si>
  <si>
    <t>Daño en equipos</t>
  </si>
  <si>
    <t>Afectacion en la produccion de manufacturas</t>
  </si>
  <si>
    <t>IMPACTO</t>
  </si>
  <si>
    <t>FRECUENTE</t>
  </si>
  <si>
    <t>Bajo</t>
  </si>
  <si>
    <t>MODERADO</t>
  </si>
  <si>
    <t>PROBABILIDAD (FREC)</t>
  </si>
  <si>
    <t>Sin acceso a la red de datos</t>
  </si>
  <si>
    <t>MUY FRECUENTE</t>
  </si>
  <si>
    <t>EVENTUAL</t>
  </si>
  <si>
    <t>RARA VEZ</t>
  </si>
  <si>
    <t>BAJO</t>
  </si>
  <si>
    <t>MEDIO BAJO</t>
  </si>
  <si>
    <t>MEDIO</t>
  </si>
  <si>
    <t>MEDIO ALTO</t>
  </si>
  <si>
    <t>ALTO</t>
  </si>
  <si>
    <t>Media</t>
  </si>
  <si>
    <t>Preventivo</t>
  </si>
  <si>
    <t>Detectivo</t>
  </si>
  <si>
    <t>Correctivo</t>
  </si>
  <si>
    <t>Existe</t>
  </si>
  <si>
    <t>Controles</t>
  </si>
  <si>
    <t>Mapa de Calor
inherente</t>
  </si>
  <si>
    <t>Escenarios Aceptados</t>
  </si>
  <si>
    <t>Escenarios No Aceptados</t>
  </si>
  <si>
    <t>Cantidad</t>
  </si>
  <si>
    <t>Criterios</t>
  </si>
  <si>
    <t>Alta</t>
  </si>
  <si>
    <t>Extrema</t>
  </si>
  <si>
    <t>Falta de actualización del antivirus</t>
  </si>
  <si>
    <t>Pérdida de operaciones</t>
  </si>
  <si>
    <t>Inadecuada asignación de privilegios</t>
  </si>
  <si>
    <t>Ausencia de equipo de respaldo</t>
  </si>
  <si>
    <t>Acceso a información confidencial</t>
  </si>
  <si>
    <t>Puertos abiertos</t>
  </si>
  <si>
    <t>Indisponibilidad del servicio</t>
  </si>
  <si>
    <t>Corrupcion de datos</t>
  </si>
  <si>
    <t>Ausencia de copias de respaldo</t>
  </si>
  <si>
    <t>Perdida de informacion</t>
  </si>
  <si>
    <t>Fuga / Pérdida de información</t>
  </si>
  <si>
    <t>Brecha en disponibilidad de personal</t>
  </si>
  <si>
    <t>Ausencia de personal</t>
  </si>
  <si>
    <t>Falta de personal</t>
  </si>
  <si>
    <t>Falta o Ausencia de mantenimiento</t>
  </si>
  <si>
    <t>Corrupcion de Datos</t>
  </si>
  <si>
    <t>Falla de energía eléctrica</t>
  </si>
  <si>
    <t>Ataques de negación de servicio.</t>
  </si>
  <si>
    <t>Código malicioso,</t>
  </si>
  <si>
    <t>Ciber Crimen</t>
  </si>
  <si>
    <t>Fallas conocidas en el software</t>
  </si>
  <si>
    <t>Material eficiente del papel</t>
  </si>
  <si>
    <t>Uso no autorizado de equipos</t>
  </si>
  <si>
    <t>Ausencia de protecciones físicas en puertas y ventanas.</t>
  </si>
  <si>
    <t>Centro de cómputo</t>
  </si>
  <si>
    <t>Espionaje</t>
  </si>
  <si>
    <t>Ausencia de mecanismos para identificación y autenticación de usuarios.</t>
  </si>
  <si>
    <t>Pérdida directa de dinero (efectivo o crédito).</t>
  </si>
  <si>
    <t>Interrupción de la actividad de negocio.</t>
  </si>
  <si>
    <t>Reducción en el desempeño/eficiencia operativos.</t>
  </si>
  <si>
    <t>Computadores</t>
  </si>
  <si>
    <t>x</t>
  </si>
  <si>
    <t>No</t>
  </si>
  <si>
    <t>Nivel de Riesgo</t>
  </si>
  <si>
    <t>Si</t>
  </si>
  <si>
    <t>Implementar un sistema de detección de intrusos</t>
  </si>
  <si>
    <t>Comercial, Contabilidad, Finanzas</t>
  </si>
  <si>
    <t>Toda la empresa</t>
  </si>
  <si>
    <t>Producción, Comercial, Contabilidad, Finanzas</t>
  </si>
  <si>
    <t>Producción, Comercial, Contabilidad, Finanzas, Recursos Humanos y Gestión de Calidad</t>
  </si>
  <si>
    <t>Comercial</t>
  </si>
  <si>
    <t>Recursos Humanos, Contabilidad, Finanzas e Infraestructura de tecnología informática y comunicaciones</t>
  </si>
  <si>
    <t>Contabilidad y Finanzas</t>
  </si>
  <si>
    <t>Producción, Comercial, Recursos Humanos y Gestión de Calidad</t>
  </si>
  <si>
    <t xml:space="preserve">Recursos Humanos, Contabilidad y Finanzas </t>
  </si>
  <si>
    <t>Producción</t>
  </si>
  <si>
    <t>Desarrollar una política de mantenimiento preventivo, además de tener equipos en BackUp  disponibles para cambio en cualquier momento finalizamos recomendando realizar una actualización de tecnologías que consta de cambio de equipos cada cierto tiempo.</t>
  </si>
  <si>
    <t>Implementar un sistema de prevención de intrusos</t>
  </si>
  <si>
    <t>Recomendación</t>
  </si>
  <si>
    <t>Cuentan con una UPS de 100 KVA con autonomía de 15 minutos, la recomendación es implementar una política de mantenimiento preventivo y actualización de tecnologías.</t>
  </si>
  <si>
    <t>Implementar un sistema biométrico el cual debe permitir solo el acceso a personal autorizado, además de contar con las regulaciones técnicas para un centro de computo, como por ejemplo, aire acondicionado, UPS, sistemas contra incendios etc.</t>
  </si>
  <si>
    <t>Implementar un sistema de detección de intrusos, además de constante capacitaciones a todo el personal en el manejo del correo electrónico, por ejemplo como identificar correos sospechosos y que hacer en caso de recibirlos</t>
  </si>
  <si>
    <t>Implementar una política para realizar copias de seguridad estableciendo tiempos y lugares adecuados y seguros para el almacenamiento.</t>
  </si>
  <si>
    <t>Desarrollar una política de mantenimiento preventivo donde unos de los objetivos sea verificar licenciamiento de los equipos y su debida actualización cuando el software lo solicite.</t>
  </si>
  <si>
    <t>El personal indispensable deba entrenar y capacitar en sus funciones vitales a personal de su misma área para que puedan realizar las mismas funciones, donde todo se debe documentar en forma de procesos y procedimientos. Además de realizar periódicamente una rotación de funciones.</t>
  </si>
  <si>
    <t>E</t>
  </si>
  <si>
    <t>2025/18/01</t>
  </si>
  <si>
    <t>MEDIPLUS</t>
  </si>
  <si>
    <t>Confeccionado por:</t>
  </si>
  <si>
    <t>Admo</t>
  </si>
  <si>
    <t>Versión:</t>
  </si>
  <si>
    <t>Fecha última actualización:</t>
  </si>
  <si>
    <t>Revisado por</t>
  </si>
  <si>
    <t>T.I</t>
  </si>
  <si>
    <t xml:space="preserve">Aprobado por: </t>
  </si>
  <si>
    <t>Evaluacion de Riesgos</t>
  </si>
  <si>
    <t>Eq_698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</si>
</sst>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3" x14ac:knownFonts="1">
    <font>
      <sz val="10"/>
      <name val="Arial"/>
    </font>
    <font>
      <sz val="11"/>
      <color indexed="8"/>
      <name val="Calibri"/>
      <family val="2"/>
    </font>
    <font>
      <sz val="11"/>
      <color indexed="9"/>
      <name val="Calibri"/>
      <family val="2"/>
    </font>
    <font>
      <sz val="11"/>
      <color indexed="17"/>
      <name val="Calibri"/>
      <family val="2"/>
    </font>
    <font>
      <b/>
      <sz val="11"/>
      <color indexed="52"/>
      <name val="Calibri"/>
      <family val="2"/>
    </font>
    <font>
      <b/>
      <sz val="11"/>
      <color indexed="9"/>
      <name val="Calibri"/>
      <family val="2"/>
    </font>
    <font>
      <sz val="11"/>
      <color indexed="52"/>
      <name val="Calibri"/>
      <family val="2"/>
    </font>
    <font>
      <b/>
      <sz val="11"/>
      <color indexed="56"/>
      <name val="Calibri"/>
      <family val="2"/>
    </font>
    <font>
      <sz val="11"/>
      <color indexed="62"/>
      <name val="Calibri"/>
      <family val="2"/>
    </font>
    <font>
      <sz val="11"/>
      <color indexed="20"/>
      <name val="Calibri"/>
      <family val="2"/>
    </font>
    <font>
      <sz val="10"/>
      <name val="Arial"/>
      <family val="2"/>
    </font>
    <font>
      <sz val="11"/>
      <color indexed="60"/>
      <name val="Calibri"/>
      <family val="2"/>
    </font>
    <font>
      <sz val="10"/>
      <color indexed="8"/>
      <name val="Arial"/>
      <family val="2"/>
    </font>
    <font>
      <b/>
      <sz val="11"/>
      <color indexed="63"/>
      <name val="Calibri"/>
      <family val="2"/>
    </font>
    <font>
      <sz val="11"/>
      <color indexed="10"/>
      <name val="Calibri"/>
      <family val="2"/>
    </font>
    <font>
      <i/>
      <sz val="11"/>
      <color indexed="23"/>
      <name val="Calibri"/>
      <family val="2"/>
    </font>
    <font>
      <b/>
      <sz val="18"/>
      <color indexed="56"/>
      <name val="Cambria"/>
      <family val="2"/>
    </font>
    <font>
      <b/>
      <sz val="15"/>
      <color indexed="56"/>
      <name val="Calibri"/>
      <family val="2"/>
    </font>
    <font>
      <b/>
      <sz val="13"/>
      <color indexed="56"/>
      <name val="Calibri"/>
      <family val="2"/>
    </font>
    <font>
      <b/>
      <sz val="11"/>
      <color indexed="8"/>
      <name val="Calibri"/>
      <family val="2"/>
    </font>
    <font>
      <sz val="10"/>
      <name val="Lucida Sans"/>
      <family val="2"/>
    </font>
    <font>
      <b/>
      <sz val="10"/>
      <name val="Lucida Sans"/>
      <family val="2"/>
    </font>
    <font>
      <b/>
      <sz val="8"/>
      <name val="Arial Narrow"/>
      <family val="2"/>
    </font>
    <font>
      <b/>
      <sz val="10"/>
      <name val="Arial"/>
      <family val="2"/>
    </font>
    <font>
      <sz val="9"/>
      <color indexed="81"/>
      <name val="Tahoma"/>
      <family val="2"/>
    </font>
    <font>
      <sz val="10"/>
      <color indexed="81"/>
      <name val="Tahoma"/>
      <family val="2"/>
    </font>
    <font>
      <b/>
      <sz val="10"/>
      <color indexed="81"/>
      <name val="Tahoma"/>
      <family val="2"/>
    </font>
    <font>
      <sz val="11"/>
      <color theme="1"/>
      <name val="Calibri"/>
      <family val="2"/>
      <scheme val="minor"/>
    </font>
    <font>
      <sz val="8"/>
      <name val="Lucida Sans"/>
      <family val="2"/>
    </font>
    <font>
      <sz val="8"/>
      <name val="Arial"/>
      <family val="2"/>
    </font>
    <font>
      <b/>
      <sz val="11"/>
      <color theme="1"/>
      <name val="Calibri"/>
      <family val="2"/>
      <scheme val="minor"/>
    </font>
    <font>
      <b/>
      <sz val="11"/>
      <color rgb="FFFF0000"/>
      <name val="Calibri"/>
      <family val="2"/>
      <scheme val="minor"/>
    </font>
    <font>
      <sz val="11"/>
      <color rgb="FFFF0000"/>
      <name val="Calibri"/>
      <family val="2"/>
      <scheme val="minor"/>
    </font>
    <font>
      <sz val="8"/>
      <color theme="1"/>
      <name val="Calibri"/>
      <family val="2"/>
      <scheme val="minor"/>
    </font>
    <font>
      <sz val="10"/>
      <color theme="1"/>
      <name val="Calibri"/>
      <family val="2"/>
      <scheme val="minor"/>
    </font>
    <font>
      <b/>
      <sz val="11"/>
      <name val="Calibri"/>
      <family val="2"/>
      <scheme val="minor"/>
    </font>
    <font>
      <b/>
      <sz val="12"/>
      <name val="Calibri"/>
      <family val="2"/>
      <scheme val="minor"/>
    </font>
    <font>
      <sz val="10"/>
      <name val="Calibri"/>
      <family val="2"/>
      <scheme val="minor"/>
    </font>
    <font>
      <sz val="10"/>
      <color rgb="FFFF0000"/>
      <name val="Lucida Sans"/>
      <family val="2"/>
    </font>
    <font>
      <b/>
      <sz val="10"/>
      <color rgb="FFFF0000"/>
      <name val="Lucida Sans"/>
      <family val="2"/>
    </font>
    <font>
      <b/>
      <sz val="9"/>
      <color rgb="FF056EE0"/>
      <name val="Roboto"/>
    </font>
    <font>
      <b/>
      <sz val="9"/>
      <name val="Roboto"/>
    </font>
    <font>
      <b/>
      <sz val="9"/>
      <color theme="1"/>
      <name val="Roboto"/>
    </font>
  </fonts>
  <fills count="39">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2"/>
      </patternFill>
    </fill>
    <fill>
      <patternFill patternType="solid">
        <fgColor indexed="55"/>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43"/>
      </patternFill>
    </fill>
    <fill>
      <patternFill patternType="solid">
        <fgColor indexed="26"/>
      </patternFill>
    </fill>
    <fill>
      <patternFill patternType="solid">
        <fgColor indexed="22"/>
        <bgColor indexed="64"/>
      </patternFill>
    </fill>
    <fill>
      <patternFill patternType="solid">
        <fgColor indexed="9"/>
        <bgColor indexed="64"/>
      </patternFill>
    </fill>
    <fill>
      <patternFill patternType="solid">
        <fgColor indexed="22"/>
        <bgColor indexed="8"/>
      </patternFill>
    </fill>
    <fill>
      <patternFill patternType="solid">
        <fgColor rgb="FF92D050"/>
        <bgColor indexed="8"/>
      </patternFill>
    </fill>
    <fill>
      <patternFill patternType="solid">
        <fgColor theme="0" tint="-0.14999847407452621"/>
        <bgColor indexed="64"/>
      </patternFill>
    </fill>
    <fill>
      <patternFill patternType="solid">
        <fgColor theme="6" tint="0.39997558519241921"/>
        <bgColor indexed="64"/>
      </patternFill>
    </fill>
    <fill>
      <patternFill patternType="solid">
        <fgColor rgb="FFFF9900"/>
        <bgColor indexed="64"/>
      </patternFill>
    </fill>
    <fill>
      <patternFill patternType="solid">
        <fgColor rgb="FFFFFF00"/>
        <bgColor indexed="64"/>
      </patternFill>
    </fill>
    <fill>
      <patternFill patternType="solid">
        <fgColor rgb="FFFFFF99"/>
        <bgColor indexed="64"/>
      </patternFill>
    </fill>
    <fill>
      <patternFill patternType="solid">
        <fgColor rgb="FFFF5050"/>
        <bgColor indexed="64"/>
      </patternFill>
    </fill>
    <fill>
      <patternFill patternType="solid">
        <fgColor theme="7" tint="0.59999389629810485"/>
        <bgColor indexed="64"/>
      </patternFill>
    </fill>
    <fill>
      <patternFill patternType="solid">
        <fgColor theme="3" tint="0.59999389629810485"/>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rgb="FFE9F9FC"/>
        <bgColor rgb="FFE9F9FC"/>
      </patternFill>
    </fill>
  </fills>
  <borders count="41">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thin">
        <color indexed="64"/>
      </top>
      <bottom/>
      <diagonal/>
    </border>
    <border>
      <left/>
      <right style="medium">
        <color indexed="64"/>
      </right>
      <top style="medium">
        <color indexed="64"/>
      </top>
      <bottom style="medium">
        <color indexed="64"/>
      </bottom>
      <diagonal/>
    </border>
    <border>
      <left style="thin">
        <color indexed="64"/>
      </left>
      <right/>
      <top/>
      <bottom style="thin">
        <color indexed="64"/>
      </bottom>
      <diagonal/>
    </border>
    <border>
      <left/>
      <right/>
      <top/>
      <bottom style="mediumDashed">
        <color indexed="64"/>
      </bottom>
      <diagonal/>
    </border>
    <border>
      <left style="mediumDashed">
        <color indexed="64"/>
      </left>
      <right style="mediumDashed">
        <color indexed="64"/>
      </right>
      <top style="mediumDashed">
        <color indexed="64"/>
      </top>
      <bottom style="mediumDashed">
        <color indexed="64"/>
      </bottom>
      <diagonal/>
    </border>
    <border>
      <left style="mediumDashed">
        <color indexed="64"/>
      </left>
      <right style="mediumDashed">
        <color indexed="64"/>
      </right>
      <top style="mediumDashed">
        <color indexed="64"/>
      </top>
      <bottom/>
      <diagonal/>
    </border>
    <border>
      <left style="mediumDashed">
        <color indexed="64"/>
      </left>
      <right/>
      <top style="mediumDashed">
        <color indexed="64"/>
      </top>
      <bottom/>
      <diagonal/>
    </border>
    <border>
      <left style="mediumDashed">
        <color indexed="64"/>
      </left>
      <right/>
      <top style="mediumDashed">
        <color indexed="64"/>
      </top>
      <bottom style="mediumDashed">
        <color indexed="64"/>
      </bottom>
      <diagonal/>
    </border>
    <border>
      <left style="mediumDashed">
        <color indexed="64"/>
      </left>
      <right/>
      <top/>
      <bottom/>
      <diagonal/>
    </border>
    <border>
      <left style="thin">
        <color indexed="64"/>
      </left>
      <right style="mediumDashed">
        <color indexed="64"/>
      </right>
      <top style="mediumDashed">
        <color indexed="64"/>
      </top>
      <bottom style="mediumDashed">
        <color indexed="64"/>
      </bottom>
      <diagonal/>
    </border>
    <border>
      <left style="mediumDashed">
        <color indexed="64"/>
      </left>
      <right style="mediumDashed">
        <color indexed="64"/>
      </right>
      <top/>
      <bottom style="mediumDashed">
        <color indexed="64"/>
      </bottom>
      <diagonal/>
    </border>
    <border>
      <left style="thin">
        <color indexed="64"/>
      </left>
      <right style="mediumDashed">
        <color indexed="64"/>
      </right>
      <top style="mediumDashed">
        <color indexed="64"/>
      </top>
      <bottom style="thin">
        <color indexed="64"/>
      </bottom>
      <diagonal/>
    </border>
    <border>
      <left style="mediumDashed">
        <color indexed="64"/>
      </left>
      <right style="mediumDashed">
        <color indexed="64"/>
      </right>
      <top style="mediumDashed">
        <color indexed="64"/>
      </top>
      <bottom style="thin">
        <color indexed="64"/>
      </bottom>
      <diagonal/>
    </border>
    <border>
      <left style="mediumDashed">
        <color indexed="64"/>
      </left>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47">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3" fillId="4" borderId="0" applyNumberFormat="0" applyBorder="0" applyAlignment="0" applyProtection="0"/>
    <xf numFmtId="0" fontId="4" fillId="16" borderId="1" applyNumberFormat="0" applyAlignment="0" applyProtection="0"/>
    <xf numFmtId="0" fontId="5" fillId="17" borderId="2" applyNumberFormat="0" applyAlignment="0" applyProtection="0"/>
    <xf numFmtId="0" fontId="6" fillId="0" borderId="3" applyNumberFormat="0" applyFill="0" applyAlignment="0" applyProtection="0"/>
    <xf numFmtId="0" fontId="7" fillId="0" borderId="0" applyNumberFormat="0" applyFill="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21" borderId="0" applyNumberFormat="0" applyBorder="0" applyAlignment="0" applyProtection="0"/>
    <xf numFmtId="0" fontId="8" fillId="7" borderId="1" applyNumberFormat="0" applyAlignment="0" applyProtection="0"/>
    <xf numFmtId="0" fontId="9" fillId="3" borderId="0" applyNumberFormat="0" applyBorder="0" applyAlignment="0" applyProtection="0"/>
    <xf numFmtId="0" fontId="11" fillId="22" borderId="0" applyNumberFormat="0" applyBorder="0" applyAlignment="0" applyProtection="0"/>
    <xf numFmtId="0" fontId="10" fillId="0" borderId="0">
      <alignment vertical="top"/>
    </xf>
    <xf numFmtId="0" fontId="10" fillId="0" borderId="0">
      <alignment vertical="top"/>
    </xf>
    <xf numFmtId="0" fontId="10" fillId="0" borderId="0">
      <alignment vertical="top"/>
    </xf>
    <xf numFmtId="0" fontId="27" fillId="0" borderId="0"/>
    <xf numFmtId="0" fontId="10" fillId="23" borderId="4" applyNumberFormat="0" applyFont="0" applyAlignment="0" applyProtection="0"/>
    <xf numFmtId="9" fontId="10" fillId="0" borderId="0" applyFont="0" applyFill="0" applyBorder="0" applyAlignment="0" applyProtection="0"/>
    <xf numFmtId="0" fontId="13" fillId="16" borderId="5" applyNumberFormat="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0" borderId="6" applyNumberFormat="0" applyFill="0" applyAlignment="0" applyProtection="0"/>
    <xf numFmtId="0" fontId="18" fillId="0" borderId="7" applyNumberFormat="0" applyFill="0" applyAlignment="0" applyProtection="0"/>
    <xf numFmtId="0" fontId="7" fillId="0" borderId="8" applyNumberFormat="0" applyFill="0" applyAlignment="0" applyProtection="0"/>
    <xf numFmtId="0" fontId="19" fillId="0" borderId="9" applyNumberFormat="0" applyFill="0" applyAlignment="0" applyProtection="0"/>
  </cellStyleXfs>
  <cellXfs count="144">
    <xf numFmtId="0" fontId="0" fillId="0" borderId="0" xfId="0"/>
    <xf numFmtId="0" fontId="20" fillId="0" borderId="0" xfId="0" applyFont="1" applyAlignment="1">
      <alignment horizontal="center"/>
    </xf>
    <xf numFmtId="0" fontId="20" fillId="0" borderId="0" xfId="0" applyFont="1"/>
    <xf numFmtId="0" fontId="21" fillId="0" borderId="0" xfId="0" applyFont="1" applyAlignment="1">
      <alignment horizontal="center" vertical="center" wrapText="1"/>
    </xf>
    <xf numFmtId="0" fontId="20" fillId="0" borderId="0" xfId="0" applyFont="1" applyAlignment="1">
      <alignment horizontal="center" vertical="center"/>
    </xf>
    <xf numFmtId="0" fontId="21" fillId="24" borderId="12" xfId="0" applyFont="1" applyFill="1" applyBorder="1" applyAlignment="1">
      <alignment horizontal="center" vertical="center" wrapText="1"/>
    </xf>
    <xf numFmtId="0" fontId="12" fillId="25" borderId="0" xfId="0" applyFont="1" applyFill="1" applyAlignment="1">
      <alignment horizontal="justify" vertical="top" wrapText="1"/>
    </xf>
    <xf numFmtId="0" fontId="12" fillId="0" borderId="0" xfId="0" applyFont="1" applyAlignment="1">
      <alignment horizontal="justify" vertical="top" wrapText="1"/>
    </xf>
    <xf numFmtId="0" fontId="21" fillId="0" borderId="13" xfId="0" applyFont="1" applyBorder="1" applyAlignment="1">
      <alignment horizontal="center" vertical="center" wrapText="1"/>
    </xf>
    <xf numFmtId="0" fontId="10" fillId="0" borderId="0" xfId="0" applyFont="1" applyAlignment="1">
      <alignment horizontal="left" wrapText="1"/>
    </xf>
    <xf numFmtId="0" fontId="10" fillId="0" borderId="0" xfId="0" applyFont="1" applyAlignment="1">
      <alignment wrapText="1"/>
    </xf>
    <xf numFmtId="0" fontId="10" fillId="0" borderId="0" xfId="0" applyFont="1" applyAlignment="1">
      <alignment horizontal="justify" vertical="top" wrapText="1"/>
    </xf>
    <xf numFmtId="0" fontId="20" fillId="0" borderId="0" xfId="0" applyFont="1" applyAlignment="1" applyProtection="1">
      <alignment horizontal="center" vertical="center" wrapText="1"/>
      <protection locked="0"/>
    </xf>
    <xf numFmtId="0" fontId="22" fillId="0" borderId="0" xfId="0" applyFont="1" applyAlignment="1">
      <alignment horizontal="center" vertical="top" wrapText="1"/>
    </xf>
    <xf numFmtId="0" fontId="20" fillId="0" borderId="0" xfId="0" applyFont="1" applyAlignment="1" applyProtection="1">
      <alignment horizontal="left" vertical="center" wrapText="1"/>
      <protection locked="0"/>
    </xf>
    <xf numFmtId="0" fontId="20" fillId="28" borderId="11" xfId="0" applyFont="1" applyFill="1" applyBorder="1" applyAlignment="1">
      <alignment horizontal="center" vertical="center"/>
    </xf>
    <xf numFmtId="0" fontId="20" fillId="28" borderId="11" xfId="0" applyFont="1" applyFill="1" applyBorder="1" applyAlignment="1" applyProtection="1">
      <alignment horizontal="center" vertical="center" wrapText="1"/>
      <protection locked="0"/>
    </xf>
    <xf numFmtId="0" fontId="20" fillId="28" borderId="11" xfId="0" applyFont="1" applyFill="1" applyBorder="1" applyAlignment="1" applyProtection="1">
      <alignment horizontal="left" vertical="center" wrapText="1"/>
      <protection locked="0"/>
    </xf>
    <xf numFmtId="0" fontId="20" fillId="28" borderId="10" xfId="0" applyFont="1" applyFill="1" applyBorder="1" applyAlignment="1">
      <alignment horizontal="center" vertical="center"/>
    </xf>
    <xf numFmtId="0" fontId="20" fillId="28" borderId="10" xfId="0" applyFont="1" applyFill="1" applyBorder="1" applyAlignment="1" applyProtection="1">
      <alignment horizontal="center" vertical="center" wrapText="1"/>
      <protection locked="0"/>
    </xf>
    <xf numFmtId="0" fontId="0" fillId="0" borderId="0" xfId="0" applyProtection="1">
      <protection locked="0"/>
    </xf>
    <xf numFmtId="0" fontId="0" fillId="0" borderId="0" xfId="0" applyAlignment="1" applyProtection="1">
      <alignment horizontal="center" vertical="center"/>
      <protection locked="0"/>
    </xf>
    <xf numFmtId="0" fontId="31" fillId="0" borderId="0" xfId="0" applyFont="1" applyAlignment="1" applyProtection="1">
      <alignment horizontal="center" vertical="center"/>
      <protection locked="0"/>
    </xf>
    <xf numFmtId="0" fontId="32" fillId="0" borderId="0" xfId="0" applyFont="1" applyAlignment="1" applyProtection="1">
      <alignment horizontal="center" vertical="center"/>
      <protection locked="0"/>
    </xf>
    <xf numFmtId="0" fontId="32" fillId="0" borderId="0" xfId="0" applyFont="1" applyAlignment="1" applyProtection="1">
      <alignment vertical="top"/>
      <protection locked="0"/>
    </xf>
    <xf numFmtId="0" fontId="32" fillId="0" borderId="0" xfId="0" applyFont="1" applyProtection="1">
      <protection locked="0"/>
    </xf>
    <xf numFmtId="0" fontId="32" fillId="0" borderId="0" xfId="0" applyFont="1" applyAlignment="1" applyProtection="1">
      <alignment horizontal="left" vertical="center"/>
      <protection locked="0"/>
    </xf>
    <xf numFmtId="0" fontId="0" fillId="0" borderId="17" xfId="0" applyBorder="1" applyProtection="1">
      <protection locked="0"/>
    </xf>
    <xf numFmtId="0" fontId="33" fillId="0" borderId="0" xfId="0" applyFont="1" applyAlignment="1" applyProtection="1">
      <alignment horizontal="center" vertical="center"/>
      <protection locked="0"/>
    </xf>
    <xf numFmtId="0" fontId="0" fillId="0" borderId="0" xfId="0" applyAlignment="1" applyProtection="1">
      <alignment horizontal="right" vertical="center"/>
      <protection locked="0"/>
    </xf>
    <xf numFmtId="0" fontId="0" fillId="0" borderId="22" xfId="0" applyBorder="1" applyProtection="1">
      <protection locked="0"/>
    </xf>
    <xf numFmtId="0" fontId="30" fillId="29" borderId="23" xfId="0" applyFont="1" applyFill="1" applyBorder="1" applyAlignment="1" applyProtection="1">
      <alignment horizontal="center" vertical="center"/>
      <protection hidden="1"/>
    </xf>
    <xf numFmtId="0" fontId="30" fillId="29" borderId="25" xfId="0" applyFont="1" applyFill="1" applyBorder="1" applyAlignment="1" applyProtection="1">
      <alignment horizontal="center" vertical="center"/>
      <protection hidden="1"/>
    </xf>
    <xf numFmtId="0" fontId="30" fillId="29" borderId="26" xfId="0" applyFont="1" applyFill="1" applyBorder="1" applyAlignment="1" applyProtection="1">
      <alignment horizontal="center" vertical="center"/>
      <protection hidden="1"/>
    </xf>
    <xf numFmtId="0" fontId="30" fillId="29" borderId="19" xfId="0" applyFont="1" applyFill="1" applyBorder="1" applyAlignment="1" applyProtection="1">
      <alignment horizontal="center" vertical="center"/>
      <protection hidden="1"/>
    </xf>
    <xf numFmtId="0" fontId="30" fillId="29" borderId="10" xfId="0" applyFont="1" applyFill="1" applyBorder="1" applyAlignment="1" applyProtection="1">
      <alignment horizontal="center" vertical="center"/>
      <protection locked="0"/>
    </xf>
    <xf numFmtId="0" fontId="30" fillId="29" borderId="16" xfId="0" applyFont="1" applyFill="1" applyBorder="1" applyAlignment="1" applyProtection="1">
      <alignment horizontal="center" vertical="center"/>
      <protection hidden="1"/>
    </xf>
    <xf numFmtId="0" fontId="30" fillId="30" borderId="18" xfId="0" applyFont="1" applyFill="1" applyBorder="1" applyAlignment="1" applyProtection="1">
      <alignment horizontal="center" vertical="center"/>
      <protection hidden="1"/>
    </xf>
    <xf numFmtId="0" fontId="30" fillId="30" borderId="20" xfId="0" applyFont="1" applyFill="1" applyBorder="1" applyAlignment="1" applyProtection="1">
      <alignment horizontal="center" vertical="center"/>
      <protection hidden="1"/>
    </xf>
    <xf numFmtId="0" fontId="30" fillId="30" borderId="19" xfId="0" applyFont="1" applyFill="1" applyBorder="1" applyAlignment="1" applyProtection="1">
      <alignment horizontal="center" vertical="center"/>
      <protection hidden="1"/>
    </xf>
    <xf numFmtId="0" fontId="30" fillId="30" borderId="24" xfId="0" applyFont="1" applyFill="1" applyBorder="1" applyAlignment="1" applyProtection="1">
      <alignment horizontal="center" vertical="center"/>
      <protection hidden="1"/>
    </xf>
    <xf numFmtId="0" fontId="30" fillId="30" borderId="27" xfId="0" applyFont="1" applyFill="1" applyBorder="1" applyAlignment="1" applyProtection="1">
      <alignment horizontal="center" vertical="center"/>
      <protection hidden="1"/>
    </xf>
    <xf numFmtId="0" fontId="30" fillId="31" borderId="18" xfId="0" applyFont="1" applyFill="1" applyBorder="1" applyAlignment="1" applyProtection="1">
      <alignment horizontal="center" vertical="center"/>
      <protection hidden="1"/>
    </xf>
    <xf numFmtId="0" fontId="30" fillId="31" borderId="21" xfId="0" applyFont="1" applyFill="1" applyBorder="1" applyAlignment="1" applyProtection="1">
      <alignment horizontal="center" vertical="center"/>
      <protection hidden="1"/>
    </xf>
    <xf numFmtId="0" fontId="30" fillId="31" borderId="19" xfId="0" applyFont="1" applyFill="1" applyBorder="1" applyAlignment="1" applyProtection="1">
      <alignment horizontal="center" vertical="center"/>
      <protection hidden="1"/>
    </xf>
    <xf numFmtId="0" fontId="30" fillId="31" borderId="26" xfId="0" applyFont="1" applyFill="1" applyBorder="1" applyAlignment="1" applyProtection="1">
      <alignment horizontal="center" vertical="center"/>
      <protection hidden="1"/>
    </xf>
    <xf numFmtId="0" fontId="30" fillId="31" borderId="10" xfId="0" applyFont="1" applyFill="1" applyBorder="1" applyAlignment="1" applyProtection="1">
      <alignment horizontal="center" vertical="center"/>
      <protection locked="0"/>
    </xf>
    <xf numFmtId="0" fontId="0" fillId="0" borderId="0" xfId="0" applyAlignment="1" applyProtection="1">
      <alignment horizontal="center" vertical="center" wrapText="1"/>
      <protection locked="0"/>
    </xf>
    <xf numFmtId="0" fontId="10" fillId="0" borderId="0" xfId="0" applyFont="1" applyAlignment="1" applyProtection="1">
      <alignment vertical="center"/>
      <protection locked="0"/>
    </xf>
    <xf numFmtId="0" fontId="0" fillId="0" borderId="0" xfId="0" applyAlignment="1" applyProtection="1">
      <alignment vertical="center" wrapText="1"/>
      <protection locked="0"/>
    </xf>
    <xf numFmtId="0" fontId="10" fillId="0" borderId="0" xfId="0" applyFont="1" applyAlignment="1" applyProtection="1">
      <alignment vertical="center" wrapText="1"/>
      <protection locked="0"/>
    </xf>
    <xf numFmtId="49" fontId="20" fillId="0" borderId="0" xfId="0" applyNumberFormat="1" applyFont="1" applyAlignment="1">
      <alignment horizontal="center" vertical="center" wrapText="1"/>
    </xf>
    <xf numFmtId="0" fontId="29" fillId="0" borderId="10" xfId="0" applyFont="1" applyBorder="1" applyAlignment="1">
      <alignment horizontal="justify" vertical="center" wrapText="1"/>
    </xf>
    <xf numFmtId="0" fontId="21" fillId="32" borderId="12" xfId="0" applyFont="1" applyFill="1" applyBorder="1" applyAlignment="1">
      <alignment horizontal="center" vertical="center" wrapText="1"/>
    </xf>
    <xf numFmtId="0" fontId="20" fillId="32" borderId="11" xfId="0" applyFont="1" applyFill="1" applyBorder="1" applyAlignment="1">
      <alignment horizontal="center" vertical="center" wrapText="1"/>
    </xf>
    <xf numFmtId="0" fontId="23" fillId="0" borderId="10" xfId="0" applyFont="1" applyBorder="1" applyAlignment="1">
      <alignment horizontal="center"/>
    </xf>
    <xf numFmtId="0" fontId="30" fillId="31" borderId="11" xfId="0" applyFont="1" applyFill="1" applyBorder="1" applyAlignment="1" applyProtection="1">
      <alignment horizontal="center" vertical="center"/>
      <protection locked="0"/>
    </xf>
    <xf numFmtId="0" fontId="30" fillId="30" borderId="10" xfId="0" applyFont="1" applyFill="1" applyBorder="1" applyAlignment="1" applyProtection="1">
      <alignment horizontal="center" vertical="center"/>
      <protection locked="0"/>
    </xf>
    <xf numFmtId="0" fontId="30" fillId="30" borderId="14" xfId="0" applyFont="1" applyFill="1" applyBorder="1" applyAlignment="1" applyProtection="1">
      <alignment horizontal="center" vertical="center"/>
      <protection locked="0"/>
    </xf>
    <xf numFmtId="0" fontId="35" fillId="33" borderId="18" xfId="0" applyFont="1" applyFill="1" applyBorder="1" applyAlignment="1" applyProtection="1">
      <alignment horizontal="center" vertical="center"/>
      <protection hidden="1"/>
    </xf>
    <xf numFmtId="0" fontId="35" fillId="33" borderId="20" xfId="0" applyFont="1" applyFill="1" applyBorder="1" applyAlignment="1" applyProtection="1">
      <alignment horizontal="center" vertical="center"/>
      <protection hidden="1"/>
    </xf>
    <xf numFmtId="0" fontId="35" fillId="33" borderId="19" xfId="0" applyFont="1" applyFill="1" applyBorder="1" applyAlignment="1" applyProtection="1">
      <alignment horizontal="center" vertical="center"/>
      <protection hidden="1"/>
    </xf>
    <xf numFmtId="0" fontId="35" fillId="33" borderId="21" xfId="0" applyFont="1" applyFill="1" applyBorder="1" applyAlignment="1" applyProtection="1">
      <alignment horizontal="center" vertical="center"/>
      <protection hidden="1"/>
    </xf>
    <xf numFmtId="0" fontId="30" fillId="33" borderId="10" xfId="0" applyFont="1" applyFill="1" applyBorder="1" applyAlignment="1" applyProtection="1">
      <alignment horizontal="center" vertical="center"/>
      <protection locked="0"/>
    </xf>
    <xf numFmtId="0" fontId="23" fillId="34" borderId="10" xfId="0" applyFont="1" applyFill="1" applyBorder="1" applyAlignment="1" applyProtection="1">
      <alignment horizontal="center" vertical="center" wrapText="1"/>
      <protection locked="0"/>
    </xf>
    <xf numFmtId="0" fontId="23" fillId="34" borderId="10" xfId="0" applyFont="1" applyFill="1" applyBorder="1" applyAlignment="1" applyProtection="1">
      <alignment horizontal="center" vertical="center"/>
      <protection locked="0"/>
    </xf>
    <xf numFmtId="0" fontId="23" fillId="35" borderId="10" xfId="0" applyFont="1" applyFill="1" applyBorder="1" applyAlignment="1" applyProtection="1">
      <alignment horizontal="center" vertical="center" wrapText="1"/>
      <protection locked="0"/>
    </xf>
    <xf numFmtId="0" fontId="23" fillId="35" borderId="10" xfId="0" applyFont="1" applyFill="1" applyBorder="1" applyAlignment="1" applyProtection="1">
      <alignment horizontal="center" vertical="center"/>
      <protection locked="0"/>
    </xf>
    <xf numFmtId="0" fontId="23" fillId="36" borderId="10" xfId="0" applyFont="1" applyFill="1" applyBorder="1" applyAlignment="1" applyProtection="1">
      <alignment horizontal="center"/>
      <protection locked="0"/>
    </xf>
    <xf numFmtId="0" fontId="20" fillId="28" borderId="11" xfId="38" applyNumberFormat="1" applyFont="1" applyFill="1" applyBorder="1" applyAlignment="1" applyProtection="1">
      <alignment horizontal="left" vertical="center" wrapText="1"/>
    </xf>
    <xf numFmtId="0" fontId="0" fillId="0" borderId="31" xfId="0" applyBorder="1" applyAlignment="1">
      <alignment horizontal="center" vertical="center"/>
    </xf>
    <xf numFmtId="0" fontId="0" fillId="37" borderId="10" xfId="0" applyFill="1" applyBorder="1" applyAlignment="1">
      <alignment horizontal="center" vertical="center"/>
    </xf>
    <xf numFmtId="0" fontId="10" fillId="37" borderId="10" xfId="0" applyFont="1" applyFill="1" applyBorder="1" applyAlignment="1">
      <alignment horizontal="center" vertical="center"/>
    </xf>
    <xf numFmtId="0" fontId="0" fillId="0" borderId="32" xfId="0" applyBorder="1" applyAlignment="1">
      <alignment horizontal="center" vertical="center"/>
    </xf>
    <xf numFmtId="0" fontId="0" fillId="0" borderId="33" xfId="0" applyBorder="1" applyAlignment="1">
      <alignment horizontal="center" vertical="center"/>
    </xf>
    <xf numFmtId="0" fontId="0" fillId="0" borderId="36" xfId="0" applyBorder="1" applyAlignment="1">
      <alignment horizontal="center" vertical="center"/>
    </xf>
    <xf numFmtId="0" fontId="0" fillId="0" borderId="37" xfId="0" applyBorder="1" applyAlignment="1">
      <alignment horizontal="center" vertical="center"/>
    </xf>
    <xf numFmtId="0" fontId="0" fillId="0" borderId="0" xfId="0" applyAlignment="1">
      <alignment horizontal="center" vertical="center"/>
    </xf>
    <xf numFmtId="0" fontId="23" fillId="0" borderId="14" xfId="0" applyFont="1" applyBorder="1" applyAlignment="1">
      <alignment horizontal="center"/>
    </xf>
    <xf numFmtId="0" fontId="10" fillId="37" borderId="10" xfId="0" applyFont="1" applyFill="1" applyBorder="1" applyAlignment="1">
      <alignment wrapText="1"/>
    </xf>
    <xf numFmtId="0" fontId="0" fillId="0" borderId="37" xfId="0" applyBorder="1" applyAlignment="1">
      <alignment wrapText="1"/>
    </xf>
    <xf numFmtId="0" fontId="0" fillId="0" borderId="31" xfId="0" applyBorder="1" applyAlignment="1">
      <alignment wrapText="1"/>
    </xf>
    <xf numFmtId="0" fontId="0" fillId="0" borderId="33" xfId="0" applyBorder="1" applyAlignment="1">
      <alignment wrapText="1"/>
    </xf>
    <xf numFmtId="0" fontId="0" fillId="0" borderId="35" xfId="0" applyBorder="1" applyAlignment="1">
      <alignment horizontal="left" vertical="center"/>
    </xf>
    <xf numFmtId="0" fontId="0" fillId="0" borderId="36" xfId="0" applyBorder="1" applyAlignment="1">
      <alignment horizontal="left" vertical="center"/>
    </xf>
    <xf numFmtId="0" fontId="0" fillId="0" borderId="30" xfId="0" applyBorder="1" applyAlignment="1">
      <alignment horizontal="left" vertical="center"/>
    </xf>
    <xf numFmtId="0" fontId="0" fillId="0" borderId="0" xfId="0" applyAlignment="1">
      <alignment horizontal="left" vertical="center"/>
    </xf>
    <xf numFmtId="0" fontId="0" fillId="37" borderId="35" xfId="0" applyFill="1" applyBorder="1" applyAlignment="1">
      <alignment horizontal="left" vertical="center"/>
    </xf>
    <xf numFmtId="0" fontId="0" fillId="37" borderId="10" xfId="0" applyFill="1" applyBorder="1" applyAlignment="1">
      <alignment horizontal="left" vertical="center"/>
    </xf>
    <xf numFmtId="0" fontId="0" fillId="0" borderId="16" xfId="0" applyBorder="1" applyAlignment="1">
      <alignment horizontal="left" vertical="center"/>
    </xf>
    <xf numFmtId="0" fontId="0" fillId="0" borderId="32" xfId="0" applyBorder="1" applyAlignment="1">
      <alignment horizontal="left" vertical="center"/>
    </xf>
    <xf numFmtId="0" fontId="39" fillId="0" borderId="0" xfId="0" applyFont="1" applyAlignment="1">
      <alignment horizontal="center" vertical="center" wrapText="1"/>
    </xf>
    <xf numFmtId="0" fontId="38" fillId="0" borderId="0" xfId="0" applyFont="1" applyAlignment="1">
      <alignment horizontal="center" vertical="center"/>
    </xf>
    <xf numFmtId="49" fontId="38" fillId="0" borderId="0" xfId="0" applyNumberFormat="1" applyFont="1" applyAlignment="1">
      <alignment horizontal="center" vertical="center" wrapText="1"/>
    </xf>
    <xf numFmtId="0" fontId="39" fillId="32" borderId="12" xfId="0" applyFont="1" applyFill="1" applyBorder="1" applyAlignment="1">
      <alignment horizontal="center" vertical="center" wrapText="1"/>
    </xf>
    <xf numFmtId="0" fontId="38" fillId="32" borderId="10" xfId="0" applyFont="1" applyFill="1" applyBorder="1" applyAlignment="1" applyProtection="1">
      <alignment horizontal="center" vertical="center" wrapText="1"/>
      <protection locked="0"/>
    </xf>
    <xf numFmtId="0" fontId="38" fillId="0" borderId="0" xfId="0" applyFont="1" applyAlignment="1" applyProtection="1">
      <alignment horizontal="center" vertical="center" wrapText="1"/>
      <protection locked="0"/>
    </xf>
    <xf numFmtId="0" fontId="38" fillId="0" borderId="10" xfId="0" applyFont="1" applyBorder="1" applyAlignment="1">
      <alignment horizontal="center" vertical="center"/>
    </xf>
    <xf numFmtId="0" fontId="38" fillId="0" borderId="0" xfId="0" applyFont="1"/>
    <xf numFmtId="0" fontId="38" fillId="32" borderId="11" xfId="0" applyFont="1" applyFill="1" applyBorder="1" applyAlignment="1" applyProtection="1">
      <alignment horizontal="center" vertical="center" wrapText="1"/>
      <protection locked="0"/>
    </xf>
    <xf numFmtId="0" fontId="21" fillId="26" borderId="10" xfId="0" applyFont="1" applyFill="1" applyBorder="1" applyAlignment="1">
      <alignment horizontal="center" wrapText="1"/>
    </xf>
    <xf numFmtId="0" fontId="21" fillId="27" borderId="10" xfId="0" applyFont="1" applyFill="1" applyBorder="1" applyAlignment="1">
      <alignment horizontal="center" wrapText="1"/>
    </xf>
    <xf numFmtId="0" fontId="23" fillId="26" borderId="10" xfId="0" applyFont="1" applyFill="1" applyBorder="1" applyAlignment="1">
      <alignment horizontal="center" wrapText="1"/>
    </xf>
    <xf numFmtId="0" fontId="23" fillId="27" borderId="10" xfId="0" applyFont="1" applyFill="1" applyBorder="1" applyAlignment="1">
      <alignment horizontal="center" wrapText="1"/>
    </xf>
    <xf numFmtId="0" fontId="0" fillId="0" borderId="10" xfId="0" applyBorder="1"/>
    <xf numFmtId="0" fontId="12" fillId="0" borderId="10" xfId="0" applyFont="1" applyBorder="1" applyAlignment="1">
      <alignment horizontal="justify" vertical="top" wrapText="1"/>
    </xf>
    <xf numFmtId="0" fontId="10" fillId="0" borderId="10" xfId="0" applyFont="1" applyBorder="1" applyAlignment="1">
      <alignment horizontal="left" wrapText="1"/>
    </xf>
    <xf numFmtId="0" fontId="12" fillId="25" borderId="10" xfId="0" applyFont="1" applyFill="1" applyBorder="1" applyAlignment="1">
      <alignment horizontal="justify" vertical="top" wrapText="1"/>
    </xf>
    <xf numFmtId="0" fontId="28" fillId="0" borderId="10" xfId="0" applyFont="1" applyBorder="1" applyAlignment="1">
      <alignment vertical="center" wrapText="1"/>
    </xf>
    <xf numFmtId="0" fontId="10" fillId="0" borderId="10" xfId="0" applyFont="1" applyBorder="1"/>
    <xf numFmtId="0" fontId="28" fillId="0" borderId="10" xfId="0" applyFont="1" applyBorder="1" applyAlignment="1">
      <alignment horizontal="left" vertical="center" wrapText="1"/>
    </xf>
    <xf numFmtId="0" fontId="41" fillId="0" borderId="10" xfId="0" applyFont="1" applyBorder="1" applyAlignment="1">
      <alignment horizontal="center" vertical="center" wrapText="1"/>
    </xf>
    <xf numFmtId="0" fontId="42" fillId="0" borderId="10" xfId="0" applyFont="1" applyBorder="1" applyAlignment="1">
      <alignment horizontal="center" vertical="center" wrapText="1"/>
    </xf>
    <xf numFmtId="14" fontId="42" fillId="0" borderId="10" xfId="0" applyNumberFormat="1" applyFont="1" applyBorder="1" applyAlignment="1">
      <alignment horizontal="center" vertical="center" wrapText="1"/>
    </xf>
    <xf numFmtId="0" fontId="21" fillId="0" borderId="35" xfId="0" applyFont="1" applyBorder="1" applyAlignment="1">
      <alignment horizontal="center" vertical="center"/>
    </xf>
    <xf numFmtId="0" fontId="21" fillId="0" borderId="37" xfId="0" applyFont="1" applyBorder="1" applyAlignment="1">
      <alignment horizontal="center" vertical="center"/>
    </xf>
    <xf numFmtId="0" fontId="21" fillId="0" borderId="30" xfId="0" applyFont="1" applyBorder="1" applyAlignment="1">
      <alignment horizontal="center" vertical="center"/>
    </xf>
    <xf numFmtId="0" fontId="21" fillId="0" borderId="31" xfId="0" applyFont="1" applyBorder="1" applyAlignment="1">
      <alignment horizontal="center" vertical="center"/>
    </xf>
    <xf numFmtId="0" fontId="21" fillId="0" borderId="16" xfId="0" applyFont="1" applyBorder="1" applyAlignment="1">
      <alignment horizontal="center" vertical="center"/>
    </xf>
    <xf numFmtId="0" fontId="21" fillId="0" borderId="33" xfId="0" applyFont="1" applyBorder="1" applyAlignment="1">
      <alignment horizontal="center" vertical="center"/>
    </xf>
    <xf numFmtId="0" fontId="21" fillId="0" borderId="36" xfId="0" applyFont="1" applyBorder="1" applyAlignment="1">
      <alignment horizontal="center" vertical="center"/>
    </xf>
    <xf numFmtId="0" fontId="21" fillId="0" borderId="0" xfId="0" applyFont="1" applyAlignment="1">
      <alignment horizontal="center" vertical="center"/>
    </xf>
    <xf numFmtId="0" fontId="21" fillId="0" borderId="32" xfId="0" applyFont="1" applyBorder="1" applyAlignment="1">
      <alignment horizontal="center" vertical="center"/>
    </xf>
    <xf numFmtId="0" fontId="40" fillId="38" borderId="38" xfId="0" applyFont="1" applyFill="1" applyBorder="1" applyAlignment="1">
      <alignment horizontal="right" vertical="center" wrapText="1"/>
    </xf>
    <xf numFmtId="0" fontId="40" fillId="38" borderId="40" xfId="0" applyFont="1" applyFill="1" applyBorder="1" applyAlignment="1">
      <alignment horizontal="right" vertical="center" wrapText="1"/>
    </xf>
    <xf numFmtId="0" fontId="20" fillId="0" borderId="35" xfId="0" applyFont="1" applyBorder="1" applyAlignment="1">
      <alignment horizontal="center"/>
    </xf>
    <xf numFmtId="0" fontId="20" fillId="0" borderId="37" xfId="0" applyFont="1" applyBorder="1" applyAlignment="1">
      <alignment horizontal="center"/>
    </xf>
    <xf numFmtId="0" fontId="20" fillId="0" borderId="30" xfId="0" applyFont="1" applyBorder="1" applyAlignment="1">
      <alignment horizontal="center"/>
    </xf>
    <xf numFmtId="0" fontId="20" fillId="0" borderId="31" xfId="0" applyFont="1" applyBorder="1" applyAlignment="1">
      <alignment horizontal="center"/>
    </xf>
    <xf numFmtId="0" fontId="20" fillId="0" borderId="16" xfId="0" applyFont="1" applyBorder="1" applyAlignment="1">
      <alignment horizontal="center"/>
    </xf>
    <xf numFmtId="0" fontId="20" fillId="0" borderId="33" xfId="0" applyFont="1" applyBorder="1" applyAlignment="1">
      <alignment horizontal="center"/>
    </xf>
    <xf numFmtId="0" fontId="36" fillId="0" borderId="28" xfId="0" applyFont="1" applyBorder="1" applyAlignment="1" applyProtection="1">
      <alignment horizontal="center" vertical="top" wrapText="1"/>
      <protection locked="0"/>
    </xf>
    <xf numFmtId="0" fontId="36" fillId="0" borderId="29" xfId="0" applyFont="1" applyBorder="1" applyAlignment="1" applyProtection="1">
      <alignment horizontal="center" vertical="top"/>
      <protection locked="0"/>
    </xf>
    <xf numFmtId="0" fontId="36" fillId="0" borderId="15" xfId="0" applyFont="1" applyBorder="1" applyAlignment="1" applyProtection="1">
      <alignment horizontal="center" vertical="top"/>
      <protection locked="0"/>
    </xf>
    <xf numFmtId="0" fontId="37" fillId="0" borderId="0" xfId="0" applyFont="1" applyAlignment="1" applyProtection="1">
      <alignment horizontal="center" vertical="center" wrapText="1"/>
      <protection locked="0"/>
    </xf>
    <xf numFmtId="0" fontId="34" fillId="0" borderId="0" xfId="0" applyFont="1" applyAlignment="1" applyProtection="1">
      <alignment horizontal="center" vertical="center" textRotation="90" wrapText="1"/>
      <protection locked="0"/>
    </xf>
    <xf numFmtId="0" fontId="23" fillId="0" borderId="10" xfId="0" applyFont="1" applyBorder="1" applyAlignment="1">
      <alignment horizontal="center" vertical="center"/>
    </xf>
    <xf numFmtId="0" fontId="23" fillId="0" borderId="14" xfId="0" applyFont="1" applyBorder="1" applyAlignment="1">
      <alignment horizontal="center" vertical="center"/>
    </xf>
    <xf numFmtId="0" fontId="23" fillId="0" borderId="14" xfId="0" applyFont="1" applyBorder="1" applyAlignment="1">
      <alignment horizontal="center" vertical="center" wrapText="1"/>
    </xf>
    <xf numFmtId="0" fontId="23" fillId="0" borderId="34" xfId="0" applyFont="1" applyBorder="1" applyAlignment="1">
      <alignment horizontal="center" vertical="center" wrapText="1"/>
    </xf>
    <xf numFmtId="0" fontId="23" fillId="0" borderId="38" xfId="0" applyFont="1" applyBorder="1" applyAlignment="1">
      <alignment horizontal="center"/>
    </xf>
    <xf numFmtId="0" fontId="23" fillId="0" borderId="39" xfId="0" applyFont="1" applyBorder="1" applyAlignment="1">
      <alignment horizontal="center"/>
    </xf>
    <xf numFmtId="0" fontId="23" fillId="0" borderId="40" xfId="0" applyFont="1" applyBorder="1" applyAlignment="1">
      <alignment horizontal="center"/>
    </xf>
    <xf numFmtId="0" fontId="23" fillId="0" borderId="10" xfId="0" applyFont="1" applyBorder="1" applyAlignment="1">
      <alignment horizontal="center" wrapText="1"/>
    </xf>
  </cellXfs>
  <cellStyles count="47">
    <cellStyle name="20% - Énfasis1" xfId="1" builtinId="30" customBuiltin="1"/>
    <cellStyle name="20% - Énfasis2" xfId="2" builtinId="34" customBuiltin="1"/>
    <cellStyle name="20% - Énfasis3" xfId="3" builtinId="38" customBuiltin="1"/>
    <cellStyle name="20% - Énfasis4" xfId="4" builtinId="42" customBuiltin="1"/>
    <cellStyle name="20% - Énfasis5" xfId="5" builtinId="46" customBuiltin="1"/>
    <cellStyle name="20% - Énfasis6" xfId="6" builtinId="50" customBuiltin="1"/>
    <cellStyle name="40% - Énfasis1" xfId="7" builtinId="31" customBuiltin="1"/>
    <cellStyle name="40% - Énfasis2" xfId="8" builtinId="35" customBuiltin="1"/>
    <cellStyle name="40% - Énfasis3" xfId="9" builtinId="39" customBuiltin="1"/>
    <cellStyle name="40% - Énfasis4" xfId="10" builtinId="43" customBuiltin="1"/>
    <cellStyle name="40% - Énfasis5" xfId="11" builtinId="47" customBuiltin="1"/>
    <cellStyle name="40% - Énfasis6" xfId="12" builtinId="51" customBuiltin="1"/>
    <cellStyle name="60% - Énfasis1" xfId="13" builtinId="32" customBuiltin="1"/>
    <cellStyle name="60% - Énfasis2" xfId="14" builtinId="36" customBuiltin="1"/>
    <cellStyle name="60% - Énfasis3" xfId="15" builtinId="40" customBuiltin="1"/>
    <cellStyle name="60% - Énfasis4" xfId="16" builtinId="44" customBuiltin="1"/>
    <cellStyle name="60% - Énfasis5" xfId="17" builtinId="48" customBuiltin="1"/>
    <cellStyle name="60% - Énfasis6" xfId="18" builtinId="52" customBuiltin="1"/>
    <cellStyle name="Bueno" xfId="19" builtinId="26" customBuiltin="1"/>
    <cellStyle name="Cálculo" xfId="20" builtinId="22" customBuiltin="1"/>
    <cellStyle name="Celda de comprobación" xfId="21" builtinId="23" customBuiltin="1"/>
    <cellStyle name="Celda vinculada" xfId="22" builtinId="24" customBuiltin="1"/>
    <cellStyle name="Encabezado 1" xfId="43" builtinId="16" customBuiltin="1"/>
    <cellStyle name="Encabezado 4" xfId="23" builtinId="19" customBuiltin="1"/>
    <cellStyle name="Énfasis1" xfId="24" builtinId="29" customBuiltin="1"/>
    <cellStyle name="Énfasis2" xfId="25" builtinId="33" customBuiltin="1"/>
    <cellStyle name="Énfasis3" xfId="26" builtinId="37" customBuiltin="1"/>
    <cellStyle name="Énfasis4" xfId="27" builtinId="41" customBuiltin="1"/>
    <cellStyle name="Énfasis5" xfId="28" builtinId="45" customBuiltin="1"/>
    <cellStyle name="Énfasis6" xfId="29" builtinId="49" customBuiltin="1"/>
    <cellStyle name="Entrada" xfId="30" builtinId="20" customBuiltin="1"/>
    <cellStyle name="Incorrecto" xfId="31" builtinId="27" customBuiltin="1"/>
    <cellStyle name="Neutral" xfId="32" builtinId="28" customBuiltin="1"/>
    <cellStyle name="Normal" xfId="0" builtinId="0"/>
    <cellStyle name="Normal 2" xfId="33" xr:uid="{00000000-0005-0000-0000-000021000000}"/>
    <cellStyle name="Normal 2 2" xfId="34" xr:uid="{00000000-0005-0000-0000-000022000000}"/>
    <cellStyle name="Normal 2_Recolección info Jano v1.1-1" xfId="35" xr:uid="{00000000-0005-0000-0000-000023000000}"/>
    <cellStyle name="Normal 3" xfId="36" xr:uid="{00000000-0005-0000-0000-000024000000}"/>
    <cellStyle name="Notas" xfId="37" builtinId="10" customBuiltin="1"/>
    <cellStyle name="Porcentaje" xfId="38" builtinId="5"/>
    <cellStyle name="Salida" xfId="39" builtinId="21" customBuiltin="1"/>
    <cellStyle name="Texto de advertencia" xfId="40" builtinId="11" customBuiltin="1"/>
    <cellStyle name="Texto explicativo" xfId="41" builtinId="53" customBuiltin="1"/>
    <cellStyle name="Título" xfId="42" builtinId="15" customBuiltin="1"/>
    <cellStyle name="Título 2" xfId="44" builtinId="17" customBuiltin="1"/>
    <cellStyle name="Título 3" xfId="45" builtinId="18" customBuiltin="1"/>
    <cellStyle name="Total" xfId="46" builtinId="25" customBuiltin="1"/>
  </cellStyles>
  <dxfs count="6">
    <dxf>
      <font>
        <color rgb="FF9C0006"/>
      </font>
      <fill>
        <patternFill>
          <bgColor rgb="FFFFC7CE"/>
        </patternFill>
      </fill>
    </dxf>
    <dxf>
      <font>
        <color rgb="FF9C0006"/>
      </font>
      <fill>
        <patternFill>
          <bgColor rgb="FFFFC7CE"/>
        </patternFill>
      </fill>
    </dxf>
    <dxf>
      <fill>
        <patternFill>
          <bgColor theme="9" tint="-0.24994659260841701"/>
        </patternFill>
      </fill>
    </dxf>
    <dxf>
      <fill>
        <patternFill>
          <bgColor theme="7" tint="0.39994506668294322"/>
        </patternFill>
      </fill>
    </dxf>
    <dxf>
      <fill>
        <patternFill>
          <bgColor rgb="FFFFC000"/>
        </patternFill>
      </fill>
    </dxf>
    <dxf>
      <fill>
        <patternFill>
          <bgColor rgb="FFFF0000"/>
        </patternFill>
      </fill>
    </dxf>
  </dxfs>
  <tableStyles count="0" defaultTableStyle="TableStyleMedium9" defaultPivotStyle="PivotStyleLight16"/>
  <colors>
    <mruColors>
      <color rgb="FFFF5050"/>
      <color rgb="FFFF9900"/>
      <color rgb="FFFFFF99"/>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baseline="0">
                <a:solidFill>
                  <a:schemeClr val="tx1">
                    <a:lumMod val="65000"/>
                    <a:lumOff val="35000"/>
                  </a:schemeClr>
                </a:solidFill>
                <a:latin typeface="+mn-lt"/>
                <a:ea typeface="+mn-ea"/>
                <a:cs typeface="+mn-cs"/>
              </a:defRPr>
            </a:pPr>
            <a:r>
              <a:rPr lang="es-CO"/>
              <a:t>Escenarios por Nivel de Riesgo</a:t>
            </a:r>
          </a:p>
        </c:rich>
      </c:tx>
      <c:overlay val="0"/>
      <c:spPr>
        <a:noFill/>
        <a:ln>
          <a:noFill/>
        </a:ln>
        <a:effectLst/>
      </c:spPr>
      <c:txPr>
        <a:bodyPr rot="0" spcFirstLastPara="1" vertOverflow="ellipsis" vert="horz" wrap="square" anchor="ctr" anchorCtr="1"/>
        <a:lstStyle/>
        <a:p>
          <a:pPr>
            <a:defRPr sz="1800" b="1" i="0" u="none" strike="noStrike" kern="1200" cap="all" baseline="0">
              <a:solidFill>
                <a:schemeClr val="tx1">
                  <a:lumMod val="65000"/>
                  <a:lumOff val="35000"/>
                </a:schemeClr>
              </a:solidFill>
              <a:latin typeface="+mn-lt"/>
              <a:ea typeface="+mn-ea"/>
              <a:cs typeface="+mn-cs"/>
            </a:defRPr>
          </a:pPr>
          <a:endParaRPr lang="en-US"/>
        </a:p>
      </c:txPr>
    </c:title>
    <c:autoTitleDeleted val="0"/>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extLst>
              <c:ext xmlns:c16="http://schemas.microsoft.com/office/drawing/2014/chart" uri="{C3380CC4-5D6E-409C-BE32-E72D297353CC}">
                <c16:uniqueId val="{00000005-F360-4B50-8E20-B64BA3346F3D}"/>
              </c:ext>
            </c:extLst>
          </c:dPt>
          <c:dPt>
            <c:idx val="1"/>
            <c:bubble3D val="0"/>
            <c:spPr>
              <a:solidFill>
                <a:schemeClr val="accent2">
                  <a:alpha val="90000"/>
                </a:schemeClr>
              </a:solidFill>
              <a:ln w="19050">
                <a:solidFill>
                  <a:schemeClr val="accent2">
                    <a:lumMod val="75000"/>
                  </a:schemeClr>
                </a:solidFill>
              </a:ln>
              <a:effectLst>
                <a:innerShdw blurRad="114300">
                  <a:schemeClr val="accent2">
                    <a:lumMod val="75000"/>
                  </a:schemeClr>
                </a:innerShdw>
              </a:effectLst>
              <a:scene3d>
                <a:camera prst="orthographicFront"/>
                <a:lightRig rig="threePt" dir="t"/>
              </a:scene3d>
              <a:sp3d contourW="19050" prstMaterial="flat">
                <a:contourClr>
                  <a:schemeClr val="accent2">
                    <a:lumMod val="75000"/>
                  </a:schemeClr>
                </a:contourClr>
              </a:sp3d>
            </c:spPr>
            <c:extLst>
              <c:ext xmlns:c16="http://schemas.microsoft.com/office/drawing/2014/chart" uri="{C3380CC4-5D6E-409C-BE32-E72D297353CC}">
                <c16:uniqueId val="{00000006-F360-4B50-8E20-B64BA3346F3D}"/>
              </c:ext>
            </c:extLst>
          </c:dPt>
          <c:dPt>
            <c:idx val="2"/>
            <c:bubble3D val="0"/>
            <c:spPr>
              <a:solidFill>
                <a:schemeClr val="accent3">
                  <a:alpha val="90000"/>
                </a:schemeClr>
              </a:solidFill>
              <a:ln w="19050">
                <a:solidFill>
                  <a:schemeClr val="accent3">
                    <a:lumMod val="75000"/>
                  </a:schemeClr>
                </a:solidFill>
              </a:ln>
              <a:effectLst>
                <a:innerShdw blurRad="114300">
                  <a:schemeClr val="accent3">
                    <a:lumMod val="75000"/>
                  </a:schemeClr>
                </a:innerShdw>
              </a:effectLst>
              <a:scene3d>
                <a:camera prst="orthographicFront"/>
                <a:lightRig rig="threePt" dir="t"/>
              </a:scene3d>
              <a:sp3d contourW="19050" prstMaterial="flat">
                <a:contourClr>
                  <a:schemeClr val="accent3">
                    <a:lumMod val="75000"/>
                  </a:schemeClr>
                </a:contourClr>
              </a:sp3d>
            </c:spPr>
            <c:extLst>
              <c:ext xmlns:c16="http://schemas.microsoft.com/office/drawing/2014/chart" uri="{C3380CC4-5D6E-409C-BE32-E72D297353CC}">
                <c16:uniqueId val="{00000007-F360-4B50-8E20-B64BA3346F3D}"/>
              </c:ext>
            </c:extLst>
          </c:dPt>
          <c:dPt>
            <c:idx val="3"/>
            <c:bubble3D val="0"/>
            <c:spPr>
              <a:solidFill>
                <a:schemeClr val="accent4">
                  <a:alpha val="90000"/>
                </a:schemeClr>
              </a:solidFill>
              <a:ln w="19050">
                <a:solidFill>
                  <a:schemeClr val="accent4">
                    <a:lumMod val="75000"/>
                  </a:schemeClr>
                </a:solidFill>
              </a:ln>
              <a:effectLst>
                <a:innerShdw blurRad="114300">
                  <a:schemeClr val="accent4">
                    <a:lumMod val="75000"/>
                  </a:schemeClr>
                </a:innerShdw>
              </a:effectLst>
              <a:scene3d>
                <a:camera prst="orthographicFront"/>
                <a:lightRig rig="threePt" dir="t"/>
              </a:scene3d>
              <a:sp3d contourW="19050" prstMaterial="flat">
                <a:contourClr>
                  <a:schemeClr val="accent4">
                    <a:lumMod val="75000"/>
                  </a:schemeClr>
                </a:contourClr>
              </a:sp3d>
            </c:spPr>
            <c:extLst>
              <c:ext xmlns:c16="http://schemas.microsoft.com/office/drawing/2014/chart" uri="{C3380CC4-5D6E-409C-BE32-E72D297353CC}">
                <c16:uniqueId val="{00000008-F360-4B50-8E20-B64BA3346F3D}"/>
              </c:ext>
            </c:extLst>
          </c:dPt>
          <c:dLbls>
            <c:dLbl>
              <c:idx val="0"/>
              <c:spPr>
                <a:solidFill>
                  <a:schemeClr val="lt1">
                    <a:alpha val="90000"/>
                  </a:schemeClr>
                </a:solidFill>
                <a:ln w="12700" cap="flat" cmpd="sng" algn="ctr">
                  <a:solidFill>
                    <a:schemeClr val="accent1"/>
                  </a:solidFill>
                  <a:round/>
                </a:ln>
                <a:effectLst>
                  <a:outerShdw blurRad="50800" dist="38100" dir="2700000" algn="tl" rotWithShape="0">
                    <a:schemeClr val="accent1">
                      <a:lumMod val="75000"/>
                      <a:alpha val="40000"/>
                    </a:schemeClr>
                  </a:outerShdw>
                </a:effectLst>
              </c:spPr>
              <c:txPr>
                <a:bodyPr rot="0" spcFirstLastPara="1" vertOverflow="clip" horzOverflow="clip" vert="horz" wrap="square" lIns="38100" tIns="19050" rIns="38100" bIns="19050" anchor="ctr" anchorCtr="1">
                  <a:spAutoFit/>
                </a:bodyPr>
                <a:lstStyle/>
                <a:p>
                  <a:pPr>
                    <a:defRPr sz="1100" b="0" i="0" u="none" strike="noStrike" kern="1200" baseline="0">
                      <a:solidFill>
                        <a:schemeClr val="accent1"/>
                      </a:solidFill>
                      <a:effectLst/>
                      <a:latin typeface="+mn-lt"/>
                      <a:ea typeface="+mn-ea"/>
                      <a:cs typeface="+mn-cs"/>
                    </a:defRPr>
                  </a:pPr>
                  <a:endParaRPr lang="en-US"/>
                </a:p>
              </c:txPr>
              <c:dLblPos val="inEnd"/>
              <c:showLegendKey val="0"/>
              <c:showVal val="1"/>
              <c:showCatName val="1"/>
              <c:showSerName val="0"/>
              <c:showPercent val="0"/>
              <c:showBubbleSize val="0"/>
              <c:extLst>
                <c:ext xmlns:c16="http://schemas.microsoft.com/office/drawing/2014/chart" uri="{C3380CC4-5D6E-409C-BE32-E72D297353CC}">
                  <c16:uniqueId val="{00000005-F360-4B50-8E20-B64BA3346F3D}"/>
                </c:ext>
              </c:extLst>
            </c:dLbl>
            <c:dLbl>
              <c:idx val="1"/>
              <c:spPr>
                <a:solidFill>
                  <a:schemeClr val="lt1">
                    <a:alpha val="90000"/>
                  </a:schemeClr>
                </a:solidFill>
                <a:ln w="12700" cap="flat" cmpd="sng" algn="ctr">
                  <a:solidFill>
                    <a:schemeClr val="accent2"/>
                  </a:solidFill>
                  <a:round/>
                </a:ln>
                <a:effectLst>
                  <a:outerShdw blurRad="50800" dist="38100" dir="2700000" algn="tl" rotWithShape="0">
                    <a:schemeClr val="accent2">
                      <a:lumMod val="75000"/>
                      <a:alpha val="40000"/>
                    </a:schemeClr>
                  </a:outerShdw>
                </a:effectLst>
              </c:spPr>
              <c:txPr>
                <a:bodyPr rot="0" spcFirstLastPara="1" vertOverflow="clip" horzOverflow="clip" vert="horz" wrap="square" lIns="38100" tIns="19050" rIns="38100" bIns="19050" anchor="ctr" anchorCtr="1">
                  <a:spAutoFit/>
                </a:bodyPr>
                <a:lstStyle/>
                <a:p>
                  <a:pPr>
                    <a:defRPr sz="1100" b="0" i="0" u="none" strike="noStrike" kern="1200" baseline="0">
                      <a:solidFill>
                        <a:schemeClr val="accent2"/>
                      </a:solidFill>
                      <a:effectLst/>
                      <a:latin typeface="+mn-lt"/>
                      <a:ea typeface="+mn-ea"/>
                      <a:cs typeface="+mn-cs"/>
                    </a:defRPr>
                  </a:pPr>
                  <a:endParaRPr lang="en-US"/>
                </a:p>
              </c:txPr>
              <c:dLblPos val="inEnd"/>
              <c:showLegendKey val="0"/>
              <c:showVal val="1"/>
              <c:showCatName val="1"/>
              <c:showSerName val="0"/>
              <c:showPercent val="0"/>
              <c:showBubbleSize val="0"/>
              <c:extLst>
                <c:ext xmlns:c16="http://schemas.microsoft.com/office/drawing/2014/chart" uri="{C3380CC4-5D6E-409C-BE32-E72D297353CC}">
                  <c16:uniqueId val="{00000006-F360-4B50-8E20-B64BA3346F3D}"/>
                </c:ext>
              </c:extLst>
            </c:dLbl>
            <c:dLbl>
              <c:idx val="2"/>
              <c:spPr>
                <a:solidFill>
                  <a:schemeClr val="lt1">
                    <a:alpha val="90000"/>
                  </a:schemeClr>
                </a:solidFill>
                <a:ln w="12700" cap="flat" cmpd="sng" algn="ctr">
                  <a:solidFill>
                    <a:schemeClr val="accent3"/>
                  </a:solidFill>
                  <a:round/>
                </a:ln>
                <a:effectLst>
                  <a:outerShdw blurRad="50800" dist="38100" dir="2700000" algn="tl" rotWithShape="0">
                    <a:schemeClr val="accent3">
                      <a:lumMod val="75000"/>
                      <a:alpha val="40000"/>
                    </a:schemeClr>
                  </a:outerShdw>
                </a:effectLst>
              </c:spPr>
              <c:txPr>
                <a:bodyPr rot="0" spcFirstLastPara="1" vertOverflow="clip" horzOverflow="clip" vert="horz" wrap="square" lIns="38100" tIns="19050" rIns="38100" bIns="19050" anchor="ctr" anchorCtr="1">
                  <a:spAutoFit/>
                </a:bodyPr>
                <a:lstStyle/>
                <a:p>
                  <a:pPr>
                    <a:defRPr sz="1100" b="0" i="0" u="none" strike="noStrike" kern="1200" baseline="0">
                      <a:solidFill>
                        <a:schemeClr val="accent3"/>
                      </a:solidFill>
                      <a:effectLst/>
                      <a:latin typeface="+mn-lt"/>
                      <a:ea typeface="+mn-ea"/>
                      <a:cs typeface="+mn-cs"/>
                    </a:defRPr>
                  </a:pPr>
                  <a:endParaRPr lang="en-US"/>
                </a:p>
              </c:txPr>
              <c:dLblPos val="inEnd"/>
              <c:showLegendKey val="0"/>
              <c:showVal val="1"/>
              <c:showCatName val="1"/>
              <c:showSerName val="0"/>
              <c:showPercent val="0"/>
              <c:showBubbleSize val="0"/>
              <c:extLst>
                <c:ext xmlns:c16="http://schemas.microsoft.com/office/drawing/2014/chart" uri="{C3380CC4-5D6E-409C-BE32-E72D297353CC}">
                  <c16:uniqueId val="{00000007-F360-4B50-8E20-B64BA3346F3D}"/>
                </c:ext>
              </c:extLst>
            </c:dLbl>
            <c:dLbl>
              <c:idx val="3"/>
              <c:spPr>
                <a:solidFill>
                  <a:schemeClr val="lt1">
                    <a:alpha val="90000"/>
                  </a:schemeClr>
                </a:solidFill>
                <a:ln w="12700" cap="flat" cmpd="sng" algn="ctr">
                  <a:solidFill>
                    <a:schemeClr val="accent4"/>
                  </a:solidFill>
                  <a:round/>
                </a:ln>
                <a:effectLst>
                  <a:outerShdw blurRad="50800" dist="38100" dir="2700000" algn="tl" rotWithShape="0">
                    <a:schemeClr val="accent4">
                      <a:lumMod val="75000"/>
                      <a:alpha val="40000"/>
                    </a:schemeClr>
                  </a:outerShdw>
                </a:effectLst>
              </c:spPr>
              <c:txPr>
                <a:bodyPr rot="0" spcFirstLastPara="1" vertOverflow="clip" horzOverflow="clip" vert="horz" wrap="square" lIns="38100" tIns="19050" rIns="38100" bIns="19050" anchor="ctr" anchorCtr="1">
                  <a:spAutoFit/>
                </a:bodyPr>
                <a:lstStyle/>
                <a:p>
                  <a:pPr>
                    <a:defRPr sz="1100" b="0" i="0" u="none" strike="noStrike" kern="1200" baseline="0">
                      <a:solidFill>
                        <a:schemeClr val="accent4"/>
                      </a:solidFill>
                      <a:effectLst/>
                      <a:latin typeface="+mn-lt"/>
                      <a:ea typeface="+mn-ea"/>
                      <a:cs typeface="+mn-cs"/>
                    </a:defRPr>
                  </a:pPr>
                  <a:endParaRPr lang="en-US"/>
                </a:p>
              </c:txPr>
              <c:dLblPos val="inEnd"/>
              <c:showLegendKey val="0"/>
              <c:showVal val="1"/>
              <c:showCatName val="1"/>
              <c:showSerName val="0"/>
              <c:showPercent val="0"/>
              <c:showBubbleSize val="0"/>
              <c:extLst>
                <c:ext xmlns:c16="http://schemas.microsoft.com/office/drawing/2014/chart" uri="{C3380CC4-5D6E-409C-BE32-E72D297353CC}">
                  <c16:uniqueId val="{00000008-F360-4B50-8E20-B64BA3346F3D}"/>
                </c:ext>
              </c:extLst>
            </c:dLbl>
            <c:spPr>
              <a:solidFill>
                <a:sysClr val="window" lastClr="FFFFFF">
                  <a:alpha val="90000"/>
                </a:sysClr>
              </a:solidFill>
              <a:ln w="12700" cap="flat" cmpd="sng" algn="ctr">
                <a:solidFill>
                  <a:srgbClr val="4F81BD"/>
                </a:solidFill>
                <a:round/>
              </a:ln>
              <a:effectLst>
                <a:outerShdw blurRad="50800" dist="38100" dir="2700000" algn="tl" rotWithShape="0">
                  <a:srgbClr val="4F81BD">
                    <a:lumMod val="75000"/>
                    <a:alpha val="40000"/>
                  </a:srgbClr>
                </a:outerShdw>
              </a:effectLst>
            </c:spPr>
            <c:txPr>
              <a:bodyPr rot="0" spcFirstLastPara="1" vertOverflow="clip" horzOverflow="clip" vert="horz" wrap="square" lIns="38100" tIns="19050" rIns="38100" bIns="19050" anchor="ctr" anchorCtr="1">
                <a:spAutoFit/>
              </a:bodyPr>
              <a:lstStyle/>
              <a:p>
                <a:pPr>
                  <a:defRPr sz="1100" b="0" i="0" u="none" strike="noStrike" kern="1200" baseline="0">
                    <a:solidFill>
                      <a:schemeClr val="accent1"/>
                    </a:solidFill>
                    <a:effectLst/>
                    <a:latin typeface="+mn-lt"/>
                    <a:ea typeface="+mn-ea"/>
                    <a:cs typeface="+mn-cs"/>
                  </a:defRPr>
                </a:pPr>
                <a:endParaRPr lang="en-US"/>
              </a:p>
            </c:txPr>
            <c:dLblPos val="inEnd"/>
            <c:showLegendKey val="0"/>
            <c:showVal val="1"/>
            <c:showCatName val="1"/>
            <c:showSerName val="0"/>
            <c:showPercent val="0"/>
            <c:showBubbleSize val="0"/>
            <c:showLeaderLines val="1"/>
            <c:leaderLines>
              <c:spPr>
                <a:ln w="9525">
                  <a:solidFill>
                    <a:schemeClr val="tx1">
                      <a:lumMod val="35000"/>
                      <a:lumOff val="65000"/>
                    </a:schemeClr>
                  </a:solidFill>
                </a:ln>
                <a:effectLst/>
              </c:spPr>
            </c:leaderLines>
            <c:extLst>
              <c:ext xmlns:c15="http://schemas.microsoft.com/office/drawing/2012/chart" uri="{CE6537A1-D6FC-4f65-9D91-7224C49458BB}"/>
            </c:extLst>
          </c:dLbls>
          <c:cat>
            <c:strRef>
              <c:f>'Mapa de Calor'!$L$5:$L$8</c:f>
              <c:strCache>
                <c:ptCount val="4"/>
                <c:pt idx="0">
                  <c:v>Extrema</c:v>
                </c:pt>
                <c:pt idx="1">
                  <c:v>Alta</c:v>
                </c:pt>
                <c:pt idx="2">
                  <c:v>Media</c:v>
                </c:pt>
                <c:pt idx="3">
                  <c:v>Bajo</c:v>
                </c:pt>
              </c:strCache>
            </c:strRef>
          </c:cat>
          <c:val>
            <c:numRef>
              <c:f>'Mapa de Calor'!$M$5:$M$8</c:f>
              <c:numCache>
                <c:formatCode>General</c:formatCode>
                <c:ptCount val="4"/>
                <c:pt idx="0">
                  <c:v>6</c:v>
                </c:pt>
                <c:pt idx="1">
                  <c:v>7</c:v>
                </c:pt>
                <c:pt idx="2">
                  <c:v>7</c:v>
                </c:pt>
                <c:pt idx="3">
                  <c:v>4</c:v>
                </c:pt>
              </c:numCache>
            </c:numRef>
          </c:val>
          <c:extLst>
            <c:ext xmlns:c16="http://schemas.microsoft.com/office/drawing/2014/chart" uri="{C3380CC4-5D6E-409C-BE32-E72D297353CC}">
              <c16:uniqueId val="{00000000-F360-4B50-8E20-B64BA3346F3D}"/>
            </c:ext>
          </c:extLst>
        </c:ser>
        <c:dLbls>
          <c:dLblPos val="inEnd"/>
          <c:showLegendKey val="0"/>
          <c:showVal val="0"/>
          <c:showCatName val="1"/>
          <c:showSerName val="0"/>
          <c:showPercent val="0"/>
          <c:showBubbleSize val="0"/>
          <c:showLeaderLines val="1"/>
        </c:dLbls>
      </c:pie3DChart>
      <c:spPr>
        <a:pattFill prst="pct5">
          <a:fgClr>
            <a:schemeClr val="tx1">
              <a:lumMod val="75000"/>
              <a:lumOff val="25000"/>
            </a:schemeClr>
          </a:fgClr>
          <a:bgClr>
            <a:schemeClr val="bg1"/>
          </a:bgClr>
        </a:pattFill>
        <a:ln>
          <a:solidFill>
            <a:schemeClr val="accent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baseline="0">
                <a:solidFill>
                  <a:schemeClr val="tx1">
                    <a:lumMod val="65000"/>
                    <a:lumOff val="35000"/>
                  </a:schemeClr>
                </a:solidFill>
                <a:latin typeface="+mn-lt"/>
                <a:ea typeface="+mn-ea"/>
                <a:cs typeface="+mn-cs"/>
              </a:defRPr>
            </a:pPr>
            <a:r>
              <a:rPr lang="es-CO"/>
              <a:t>Escenarios aceptados y no aceptados</a:t>
            </a:r>
          </a:p>
        </c:rich>
      </c:tx>
      <c:overlay val="0"/>
      <c:spPr>
        <a:noFill/>
        <a:ln>
          <a:noFill/>
        </a:ln>
        <a:effectLst/>
      </c:spPr>
      <c:txPr>
        <a:bodyPr rot="0" spcFirstLastPara="1" vertOverflow="ellipsis" vert="horz" wrap="square" anchor="ctr" anchorCtr="1"/>
        <a:lstStyle/>
        <a:p>
          <a:pPr>
            <a:defRPr sz="1800" b="1" i="0" u="none" strike="noStrike" kern="1200" cap="all" baseline="0">
              <a:solidFill>
                <a:schemeClr val="tx1">
                  <a:lumMod val="65000"/>
                  <a:lumOff val="35000"/>
                </a:schemeClr>
              </a:solidFill>
              <a:latin typeface="+mn-lt"/>
              <a:ea typeface="+mn-ea"/>
              <a:cs typeface="+mn-cs"/>
            </a:defRPr>
          </a:pPr>
          <a:endParaRPr lang="en-US"/>
        </a:p>
      </c:txPr>
    </c:title>
    <c:autoTitleDeleted val="0"/>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extLst>
              <c:ext xmlns:c16="http://schemas.microsoft.com/office/drawing/2014/chart" uri="{C3380CC4-5D6E-409C-BE32-E72D297353CC}">
                <c16:uniqueId val="{00000001-59B5-4E9E-95D8-C25D661047E5}"/>
              </c:ext>
            </c:extLst>
          </c:dPt>
          <c:dPt>
            <c:idx val="1"/>
            <c:bubble3D val="0"/>
            <c:spPr>
              <a:solidFill>
                <a:schemeClr val="accent2">
                  <a:alpha val="90000"/>
                </a:schemeClr>
              </a:solidFill>
              <a:ln w="19050">
                <a:solidFill>
                  <a:schemeClr val="accent2">
                    <a:lumMod val="75000"/>
                  </a:schemeClr>
                </a:solidFill>
              </a:ln>
              <a:effectLst>
                <a:innerShdw blurRad="114300">
                  <a:schemeClr val="accent2">
                    <a:lumMod val="75000"/>
                  </a:schemeClr>
                </a:innerShdw>
              </a:effectLst>
              <a:scene3d>
                <a:camera prst="orthographicFront"/>
                <a:lightRig rig="threePt" dir="t"/>
              </a:scene3d>
              <a:sp3d contourW="19050" prstMaterial="flat">
                <a:contourClr>
                  <a:schemeClr val="accent2">
                    <a:lumMod val="75000"/>
                  </a:schemeClr>
                </a:contourClr>
              </a:sp3d>
            </c:spPr>
            <c:extLst>
              <c:ext xmlns:c16="http://schemas.microsoft.com/office/drawing/2014/chart" uri="{C3380CC4-5D6E-409C-BE32-E72D297353CC}">
                <c16:uniqueId val="{00000002-59B5-4E9E-95D8-C25D661047E5}"/>
              </c:ext>
            </c:extLst>
          </c:dPt>
          <c:dLbls>
            <c:dLbl>
              <c:idx val="0"/>
              <c:spPr>
                <a:solidFill>
                  <a:schemeClr val="lt1">
                    <a:alpha val="90000"/>
                  </a:schemeClr>
                </a:solidFill>
                <a:ln w="12700" cap="flat" cmpd="sng" algn="ctr">
                  <a:solidFill>
                    <a:schemeClr val="accent1"/>
                  </a:solidFill>
                  <a:round/>
                </a:ln>
                <a:effectLst>
                  <a:outerShdw blurRad="50800" dist="38100" dir="2700000" algn="tl" rotWithShape="0">
                    <a:schemeClr val="accent1">
                      <a:lumMod val="75000"/>
                      <a:alpha val="40000"/>
                    </a:schemeClr>
                  </a:outerShdw>
                </a:effectLst>
              </c:spPr>
              <c:txPr>
                <a:bodyPr rot="0" spcFirstLastPara="1" vertOverflow="clip" horzOverflow="clip" vert="horz" wrap="square" lIns="38100" tIns="19050" rIns="38100" bIns="19050" anchor="ctr" anchorCtr="1">
                  <a:spAutoFit/>
                </a:bodyPr>
                <a:lstStyle/>
                <a:p>
                  <a:pPr>
                    <a:defRPr sz="1100" b="0" i="0" u="none" strike="noStrike" kern="1200" baseline="0">
                      <a:solidFill>
                        <a:schemeClr val="accent1"/>
                      </a:solidFill>
                      <a:effectLst/>
                      <a:latin typeface="+mn-lt"/>
                      <a:ea typeface="+mn-ea"/>
                      <a:cs typeface="+mn-cs"/>
                    </a:defRPr>
                  </a:pPr>
                  <a:endParaRPr lang="en-US"/>
                </a:p>
              </c:txPr>
              <c:dLblPos val="inEnd"/>
              <c:showLegendKey val="0"/>
              <c:showVal val="1"/>
              <c:showCatName val="1"/>
              <c:showSerName val="0"/>
              <c:showPercent val="0"/>
              <c:showBubbleSize val="0"/>
              <c:extLst>
                <c:ext xmlns:c16="http://schemas.microsoft.com/office/drawing/2014/chart" uri="{C3380CC4-5D6E-409C-BE32-E72D297353CC}">
                  <c16:uniqueId val="{00000001-59B5-4E9E-95D8-C25D661047E5}"/>
                </c:ext>
              </c:extLst>
            </c:dLbl>
            <c:dLbl>
              <c:idx val="1"/>
              <c:spPr>
                <a:solidFill>
                  <a:schemeClr val="lt1">
                    <a:alpha val="90000"/>
                  </a:schemeClr>
                </a:solidFill>
                <a:ln w="12700" cap="flat" cmpd="sng" algn="ctr">
                  <a:solidFill>
                    <a:schemeClr val="accent2"/>
                  </a:solidFill>
                  <a:round/>
                </a:ln>
                <a:effectLst>
                  <a:outerShdw blurRad="50800" dist="38100" dir="2700000" algn="tl" rotWithShape="0">
                    <a:schemeClr val="accent2">
                      <a:lumMod val="75000"/>
                      <a:alpha val="40000"/>
                    </a:schemeClr>
                  </a:outerShdw>
                </a:effectLst>
              </c:spPr>
              <c:txPr>
                <a:bodyPr rot="0" spcFirstLastPara="1" vertOverflow="clip" horzOverflow="clip" vert="horz" wrap="square" lIns="38100" tIns="19050" rIns="38100" bIns="19050" anchor="ctr" anchorCtr="1">
                  <a:spAutoFit/>
                </a:bodyPr>
                <a:lstStyle/>
                <a:p>
                  <a:pPr>
                    <a:defRPr sz="1100" b="0" i="0" u="none" strike="noStrike" kern="1200" baseline="0">
                      <a:solidFill>
                        <a:schemeClr val="accent2"/>
                      </a:solidFill>
                      <a:effectLst/>
                      <a:latin typeface="+mn-lt"/>
                      <a:ea typeface="+mn-ea"/>
                      <a:cs typeface="+mn-cs"/>
                    </a:defRPr>
                  </a:pPr>
                  <a:endParaRPr lang="en-US"/>
                </a:p>
              </c:txPr>
              <c:dLblPos val="inEnd"/>
              <c:showLegendKey val="0"/>
              <c:showVal val="1"/>
              <c:showCatName val="1"/>
              <c:showSerName val="0"/>
              <c:showPercent val="0"/>
              <c:showBubbleSize val="0"/>
              <c:extLst>
                <c:ext xmlns:c16="http://schemas.microsoft.com/office/drawing/2014/chart" uri="{C3380CC4-5D6E-409C-BE32-E72D297353CC}">
                  <c16:uniqueId val="{00000002-59B5-4E9E-95D8-C25D661047E5}"/>
                </c:ext>
              </c:extLst>
            </c:dLbl>
            <c:spPr>
              <a:solidFill>
                <a:sysClr val="window" lastClr="FFFFFF">
                  <a:alpha val="90000"/>
                </a:sysClr>
              </a:solidFill>
              <a:ln w="12700" cap="flat" cmpd="sng" algn="ctr">
                <a:solidFill>
                  <a:srgbClr val="4F81BD"/>
                </a:solidFill>
                <a:round/>
              </a:ln>
              <a:effectLst>
                <a:outerShdw blurRad="50800" dist="38100" dir="2700000" algn="tl" rotWithShape="0">
                  <a:srgbClr val="4F81BD">
                    <a:lumMod val="75000"/>
                    <a:alpha val="40000"/>
                  </a:srgbClr>
                </a:outerShdw>
              </a:effectLst>
            </c:spPr>
            <c:txPr>
              <a:bodyPr rot="0" spcFirstLastPara="1" vertOverflow="clip" horzOverflow="clip" vert="horz" wrap="square" lIns="38100" tIns="19050" rIns="38100" bIns="19050" anchor="ctr" anchorCtr="1">
                <a:spAutoFit/>
              </a:bodyPr>
              <a:lstStyle/>
              <a:p>
                <a:pPr>
                  <a:defRPr sz="1100" b="0" i="0" u="none" strike="noStrike" kern="1200" baseline="0">
                    <a:solidFill>
                      <a:schemeClr val="accent1"/>
                    </a:solidFill>
                    <a:effectLst/>
                    <a:latin typeface="+mn-lt"/>
                    <a:ea typeface="+mn-ea"/>
                    <a:cs typeface="+mn-cs"/>
                  </a:defRPr>
                </a:pPr>
                <a:endParaRPr lang="en-US"/>
              </a:p>
            </c:txPr>
            <c:dLblPos val="inEnd"/>
            <c:showLegendKey val="0"/>
            <c:showVal val="1"/>
            <c:showCatName val="1"/>
            <c:showSerName val="0"/>
            <c:showPercent val="0"/>
            <c:showBubbleSize val="0"/>
            <c:showLeaderLines val="1"/>
            <c:leaderLines>
              <c:spPr>
                <a:ln w="9525">
                  <a:solidFill>
                    <a:schemeClr val="tx1">
                      <a:lumMod val="35000"/>
                      <a:lumOff val="65000"/>
                    </a:schemeClr>
                  </a:solidFill>
                </a:ln>
                <a:effectLst/>
              </c:spPr>
            </c:leaderLines>
            <c:extLst>
              <c:ext xmlns:c15="http://schemas.microsoft.com/office/drawing/2012/chart" uri="{CE6537A1-D6FC-4f65-9D91-7224C49458BB}"/>
            </c:extLst>
          </c:dLbls>
          <c:cat>
            <c:strRef>
              <c:f>'Mapa de Calor'!$N$6:$N$7</c:f>
              <c:strCache>
                <c:ptCount val="2"/>
                <c:pt idx="0">
                  <c:v>Escenarios No Aceptados</c:v>
                </c:pt>
                <c:pt idx="1">
                  <c:v>Escenarios Aceptados</c:v>
                </c:pt>
              </c:strCache>
            </c:strRef>
          </c:cat>
          <c:val>
            <c:numRef>
              <c:f>'Mapa de Calor'!$O$6:$O$7</c:f>
              <c:numCache>
                <c:formatCode>General</c:formatCode>
                <c:ptCount val="2"/>
                <c:pt idx="0">
                  <c:v>13</c:v>
                </c:pt>
                <c:pt idx="1">
                  <c:v>11</c:v>
                </c:pt>
              </c:numCache>
            </c:numRef>
          </c:val>
          <c:extLst>
            <c:ext xmlns:c16="http://schemas.microsoft.com/office/drawing/2014/chart" uri="{C3380CC4-5D6E-409C-BE32-E72D297353CC}">
              <c16:uniqueId val="{00000000-59B5-4E9E-95D8-C25D661047E5}"/>
            </c:ext>
          </c:extLst>
        </c:ser>
        <c:dLbls>
          <c:dLblPos val="inEnd"/>
          <c:showLegendKey val="0"/>
          <c:showVal val="0"/>
          <c:showCatName val="1"/>
          <c:showSerName val="0"/>
          <c:showPercent val="0"/>
          <c:showBubbleSize val="0"/>
          <c:showLeaderLines val="1"/>
        </c:dLbls>
      </c:pie3DChart>
      <c:spPr>
        <a:pattFill prst="pct5">
          <a:fgClr>
            <a:schemeClr val="tx1">
              <a:lumMod val="75000"/>
              <a:lumOff val="25000"/>
            </a:schemeClr>
          </a:fgClr>
          <a:bgClr>
            <a:schemeClr val="bg1"/>
          </a:bgClr>
        </a:pattFill>
        <a:ln>
          <a:solidFill>
            <a:schemeClr val="accent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1000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3">
  <cs:axisTitle>
    <cs:lnRef idx="0"/>
    <cs:fillRef idx="0"/>
    <cs:effectRef idx="0"/>
    <cs:fontRef idx="minor">
      <a:schemeClr val="tx1">
        <a:lumMod val="50000"/>
        <a:lumOff val="50000"/>
      </a:schemeClr>
    </cs:fontRef>
    <cs:defRPr sz="900" kern="1200"/>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styleClr val="auto"/>
    </cs:lnRef>
    <cs:fillRef idx="0"/>
    <cs:effectRef idx="0">
      <cs:styleClr val="auto"/>
    </cs:effectRef>
    <cs:fontRef idx="minor">
      <cs:styleClr val="auto"/>
    </cs:fontRef>
    <cs:spPr>
      <a:solidFill>
        <a:schemeClr val="lt1">
          <a:alpha val="90000"/>
        </a:schemeClr>
      </a:solidFill>
      <a:ln w="12700" cap="flat" cmpd="sng" algn="ctr">
        <a:solidFill>
          <a:schemeClr val="phClr"/>
        </a:solidFill>
        <a:round/>
      </a:ln>
      <a:effectLst>
        <a:outerShdw blurRad="50800" dist="38100" dir="2700000" algn="tl" rotWithShape="0">
          <a:schemeClr val="phClr">
            <a:lumMod val="75000"/>
            <a:alpha val="40000"/>
          </a:schemeClr>
        </a:outerShdw>
      </a:effectLst>
    </cs:spPr>
    <cs:defRPr sz="1000" b="0" i="0" u="none" strike="noStrike" kern="1200" baseline="0">
      <a:effectLst/>
    </cs:defRPr>
    <cs:bodyPr rot="0" spcFirstLastPara="1" vertOverflow="clip" horzOverflow="clip" vert="horz" wrap="square" lIns="38100" tIns="19050" rIns="38100" bIns="19050" anchor="ctr" anchorCtr="1">
      <a:spAutoFit/>
    </cs:bodyPr>
  </cs:dataLabel>
  <cs:dataLabelCallout>
    <cs:lnRef idx="0">
      <cs:styleClr val="auto"/>
    </cs:lnRef>
    <cs:fillRef idx="0"/>
    <cs:effectRef idx="0">
      <cs:styleClr val="auto"/>
    </cs:effectRef>
    <cs:fontRef idx="minor">
      <cs:styleClr val="auto"/>
    </cs:fontRef>
    <cs:spPr>
      <a:solidFill>
        <a:schemeClr val="lt1">
          <a:alpha val="90000"/>
        </a:schemeClr>
      </a:solidFill>
      <a:ln w="12700" cap="flat" cmpd="sng" algn="ctr">
        <a:solidFill>
          <a:schemeClr val="phClr"/>
        </a:solidFill>
        <a:round/>
      </a:ln>
      <a:effectLst>
        <a:outerShdw blurRad="50800" dist="38100" dir="2700000" algn="tl" rotWithShape="0">
          <a:schemeClr val="phClr">
            <a:lumMod val="75000"/>
            <a:alpha val="40000"/>
          </a:schemeClr>
        </a:outerShdw>
      </a:effectLst>
    </cs:spPr>
    <cs:defRPr sz="1000" b="0" i="0" u="none" strike="noStrike" kern="1200" baseline="0">
      <a:effectLst/>
    </cs:defRPr>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alpha val="70000"/>
        </a:schemeClr>
      </a:solidFill>
    </cs:spPr>
  </cs:dataPoint>
  <cs:dataPoint3D>
    <cs:lnRef idx="0">
      <cs:styleClr val="auto"/>
    </cs:lnRef>
    <cs:fillRef idx="0">
      <cs:styleClr val="auto"/>
    </cs:fillRef>
    <cs:effectRef idx="0">
      <cs:styleClr val="auto"/>
    </cs:effectRef>
    <cs:fontRef idx="minor">
      <a:schemeClr val="tx1"/>
    </cs:fontRef>
    <cs:spPr>
      <a:solidFill>
        <a:schemeClr val="phClr">
          <a:alpha val="90000"/>
        </a:schemeClr>
      </a:solidFill>
      <a:ln w="19050">
        <a:solidFill>
          <a:schemeClr val="phClr">
            <a:lumMod val="75000"/>
          </a:schemeClr>
        </a:solidFill>
      </a:ln>
      <a:effectLst>
        <a:innerShdw blurRad="114300">
          <a:schemeClr val="phClr">
            <a:lumMod val="75000"/>
          </a:schemeClr>
        </a:innerShdw>
      </a:effectLst>
      <a:scene3d>
        <a:camera prst="orthographicFront"/>
        <a:lightRig rig="threePt" dir="t"/>
      </a:scene3d>
      <a:sp3d contourW="19050" prstMaterial="flat">
        <a:contourClr>
          <a:schemeClr val="accent4">
            <a:lumMod val="75000"/>
          </a:schemeClr>
        </a:contourClr>
      </a:sp3d>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63">
  <cs:axisTitle>
    <cs:lnRef idx="0"/>
    <cs:fillRef idx="0"/>
    <cs:effectRef idx="0"/>
    <cs:fontRef idx="minor">
      <a:schemeClr val="tx1">
        <a:lumMod val="50000"/>
        <a:lumOff val="50000"/>
      </a:schemeClr>
    </cs:fontRef>
    <cs:defRPr sz="900" kern="1200"/>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styleClr val="auto"/>
    </cs:lnRef>
    <cs:fillRef idx="0"/>
    <cs:effectRef idx="0">
      <cs:styleClr val="auto"/>
    </cs:effectRef>
    <cs:fontRef idx="minor">
      <cs:styleClr val="auto"/>
    </cs:fontRef>
    <cs:spPr>
      <a:solidFill>
        <a:schemeClr val="lt1">
          <a:alpha val="90000"/>
        </a:schemeClr>
      </a:solidFill>
      <a:ln w="12700" cap="flat" cmpd="sng" algn="ctr">
        <a:solidFill>
          <a:schemeClr val="phClr"/>
        </a:solidFill>
        <a:round/>
      </a:ln>
      <a:effectLst>
        <a:outerShdw blurRad="50800" dist="38100" dir="2700000" algn="tl" rotWithShape="0">
          <a:schemeClr val="phClr">
            <a:lumMod val="75000"/>
            <a:alpha val="40000"/>
          </a:schemeClr>
        </a:outerShdw>
      </a:effectLst>
    </cs:spPr>
    <cs:defRPr sz="1000" b="0" i="0" u="none" strike="noStrike" kern="1200" baseline="0">
      <a:effectLst/>
    </cs:defRPr>
    <cs:bodyPr rot="0" spcFirstLastPara="1" vertOverflow="clip" horzOverflow="clip" vert="horz" wrap="square" lIns="38100" tIns="19050" rIns="38100" bIns="19050" anchor="ctr" anchorCtr="1">
      <a:spAutoFit/>
    </cs:bodyPr>
  </cs:dataLabel>
  <cs:dataLabelCallout>
    <cs:lnRef idx="0">
      <cs:styleClr val="auto"/>
    </cs:lnRef>
    <cs:fillRef idx="0"/>
    <cs:effectRef idx="0">
      <cs:styleClr val="auto"/>
    </cs:effectRef>
    <cs:fontRef idx="minor">
      <cs:styleClr val="auto"/>
    </cs:fontRef>
    <cs:spPr>
      <a:solidFill>
        <a:schemeClr val="lt1">
          <a:alpha val="90000"/>
        </a:schemeClr>
      </a:solidFill>
      <a:ln w="12700" cap="flat" cmpd="sng" algn="ctr">
        <a:solidFill>
          <a:schemeClr val="phClr"/>
        </a:solidFill>
        <a:round/>
      </a:ln>
      <a:effectLst>
        <a:outerShdw blurRad="50800" dist="38100" dir="2700000" algn="tl" rotWithShape="0">
          <a:schemeClr val="phClr">
            <a:lumMod val="75000"/>
            <a:alpha val="40000"/>
          </a:schemeClr>
        </a:outerShdw>
      </a:effectLst>
    </cs:spPr>
    <cs:defRPr sz="1000" b="0" i="0" u="none" strike="noStrike" kern="1200" baseline="0">
      <a:effectLst/>
    </cs:defRPr>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alpha val="70000"/>
        </a:schemeClr>
      </a:solidFill>
    </cs:spPr>
  </cs:dataPoint>
  <cs:dataPoint3D>
    <cs:lnRef idx="0">
      <cs:styleClr val="auto"/>
    </cs:lnRef>
    <cs:fillRef idx="0">
      <cs:styleClr val="auto"/>
    </cs:fillRef>
    <cs:effectRef idx="0">
      <cs:styleClr val="auto"/>
    </cs:effectRef>
    <cs:fontRef idx="minor">
      <a:schemeClr val="tx1"/>
    </cs:fontRef>
    <cs:spPr>
      <a:solidFill>
        <a:schemeClr val="phClr">
          <a:alpha val="90000"/>
        </a:schemeClr>
      </a:solidFill>
      <a:ln w="19050">
        <a:solidFill>
          <a:schemeClr val="phClr">
            <a:lumMod val="75000"/>
          </a:schemeClr>
        </a:solidFill>
      </a:ln>
      <a:effectLst>
        <a:innerShdw blurRad="114300">
          <a:schemeClr val="phClr">
            <a:lumMod val="75000"/>
          </a:schemeClr>
        </a:innerShdw>
      </a:effectLst>
      <a:scene3d>
        <a:camera prst="orthographicFront"/>
        <a:lightRig rig="threePt" dir="t"/>
      </a:scene3d>
      <a:sp3d contourW="19050" prstMaterial="flat">
        <a:contourClr>
          <a:schemeClr val="accent4">
            <a:lumMod val="75000"/>
          </a:schemeClr>
        </a:contourClr>
      </a:sp3d>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2</xdr:col>
      <xdr:colOff>10584</xdr:colOff>
      <xdr:row>1</xdr:row>
      <xdr:rowOff>52917</xdr:rowOff>
    </xdr:from>
    <xdr:to>
      <xdr:col>2</xdr:col>
      <xdr:colOff>1428750</xdr:colOff>
      <xdr:row>5</xdr:row>
      <xdr:rowOff>99218</xdr:rowOff>
    </xdr:to>
    <xdr:pic>
      <xdr:nvPicPr>
        <xdr:cNvPr id="3" name="Imagen 2">
          <a:extLst>
            <a:ext uri="{FF2B5EF4-FFF2-40B4-BE49-F238E27FC236}">
              <a16:creationId xmlns:a16="http://schemas.microsoft.com/office/drawing/2014/main" id="{2AB0C901-2123-48F9-BC10-069B8207D1F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23334" y="211667"/>
          <a:ext cx="1418166" cy="79771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5</xdr:col>
      <xdr:colOff>19050</xdr:colOff>
      <xdr:row>8</xdr:row>
      <xdr:rowOff>628650</xdr:rowOff>
    </xdr:from>
    <xdr:to>
      <xdr:col>11</xdr:col>
      <xdr:colOff>69850</xdr:colOff>
      <xdr:row>9</xdr:row>
      <xdr:rowOff>0</xdr:rowOff>
    </xdr:to>
    <xdr:cxnSp macro="">
      <xdr:nvCxnSpPr>
        <xdr:cNvPr id="8" name="Conector recto 7">
          <a:extLst>
            <a:ext uri="{FF2B5EF4-FFF2-40B4-BE49-F238E27FC236}">
              <a16:creationId xmlns:a16="http://schemas.microsoft.com/office/drawing/2014/main" id="{655B2E83-9210-4B08-8573-E9172A484612}"/>
            </a:ext>
          </a:extLst>
        </xdr:cNvPr>
        <xdr:cNvCxnSpPr/>
      </xdr:nvCxnSpPr>
      <xdr:spPr>
        <a:xfrm flipV="1">
          <a:off x="1954530" y="5993130"/>
          <a:ext cx="4279900" cy="11430"/>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twoCellAnchor>
    <xdr:from>
      <xdr:col>4</xdr:col>
      <xdr:colOff>749300</xdr:colOff>
      <xdr:row>2</xdr:row>
      <xdr:rowOff>158750</xdr:rowOff>
    </xdr:from>
    <xdr:to>
      <xdr:col>5</xdr:col>
      <xdr:colOff>12700</xdr:colOff>
      <xdr:row>9</xdr:row>
      <xdr:rowOff>12700</xdr:rowOff>
    </xdr:to>
    <xdr:cxnSp macro="">
      <xdr:nvCxnSpPr>
        <xdr:cNvPr id="9" name="Conector recto 8">
          <a:extLst>
            <a:ext uri="{FF2B5EF4-FFF2-40B4-BE49-F238E27FC236}">
              <a16:creationId xmlns:a16="http://schemas.microsoft.com/office/drawing/2014/main" id="{74026766-7FD1-4CA3-B7BA-A8EA70308FD7}"/>
            </a:ext>
          </a:extLst>
        </xdr:cNvPr>
        <xdr:cNvCxnSpPr/>
      </xdr:nvCxnSpPr>
      <xdr:spPr>
        <a:xfrm>
          <a:off x="1938020" y="2589530"/>
          <a:ext cx="10160" cy="3427730"/>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twoCellAnchor>
    <xdr:from>
      <xdr:col>16</xdr:col>
      <xdr:colOff>0</xdr:colOff>
      <xdr:row>4</xdr:row>
      <xdr:rowOff>16192</xdr:rowOff>
    </xdr:from>
    <xdr:to>
      <xdr:col>22</xdr:col>
      <xdr:colOff>110490</xdr:colOff>
      <xdr:row>9</xdr:row>
      <xdr:rowOff>98107</xdr:rowOff>
    </xdr:to>
    <xdr:graphicFrame macro="">
      <xdr:nvGraphicFramePr>
        <xdr:cNvPr id="2" name="Gráfico 1">
          <a:extLst>
            <a:ext uri="{FF2B5EF4-FFF2-40B4-BE49-F238E27FC236}">
              <a16:creationId xmlns:a16="http://schemas.microsoft.com/office/drawing/2014/main" id="{ADB3F037-D6F2-D4FD-DA5C-9048D8AB99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35242</xdr:colOff>
      <xdr:row>12</xdr:row>
      <xdr:rowOff>12382</xdr:rowOff>
    </xdr:from>
    <xdr:to>
      <xdr:col>22</xdr:col>
      <xdr:colOff>145732</xdr:colOff>
      <xdr:row>28</xdr:row>
      <xdr:rowOff>18097</xdr:rowOff>
    </xdr:to>
    <xdr:graphicFrame macro="">
      <xdr:nvGraphicFramePr>
        <xdr:cNvPr id="5" name="Gráfico 4">
          <a:extLst>
            <a:ext uri="{FF2B5EF4-FFF2-40B4-BE49-F238E27FC236}">
              <a16:creationId xmlns:a16="http://schemas.microsoft.com/office/drawing/2014/main" id="{1E5D6D1A-F7AD-D8ED-02B8-46C5ADA100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upcedu-my.sharepoint.com/Trabajo%20DW/+++Proyectos%20Consultoria/2007/Indumil/entrevistas/Recolecci&#243;n%20de%20informaci&#243;n%20de%20riesgos_Entrevista5.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resentación"/>
      <sheetName val="Responsable"/>
      <sheetName val="Procesos"/>
      <sheetName val="Amenazas"/>
      <sheetName val="Parámetros"/>
      <sheetName val="Parámetros_2"/>
    </sheetNames>
    <sheetDataSet>
      <sheetData sheetId="0"/>
      <sheetData sheetId="1"/>
      <sheetData sheetId="2"/>
      <sheetData sheetId="3"/>
      <sheetData sheetId="4"/>
      <sheetData sheetId="5"/>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N39"/>
  <sheetViews>
    <sheetView showGridLines="0" tabSelected="1" zoomScale="90" zoomScaleNormal="90" workbookViewId="0">
      <selection activeCell="N3" sqref="N3"/>
    </sheetView>
  </sheetViews>
  <sheetFormatPr baseColWidth="10" defaultColWidth="11.42578125" defaultRowHeight="12.75" x14ac:dyDescent="0.2"/>
  <cols>
    <col min="1" max="1" width="2.42578125" style="2" customWidth="1"/>
    <col min="2" max="2" width="3.85546875" style="1" customWidth="1"/>
    <col min="3" max="3" width="26.85546875" style="2" customWidth="1"/>
    <col min="4" max="4" width="36.28515625" style="1" customWidth="1"/>
    <col min="5" max="5" width="18.85546875" style="1" customWidth="1"/>
    <col min="6" max="6" width="28" style="2" customWidth="1"/>
    <col min="7" max="7" width="28.5703125" style="2" customWidth="1"/>
    <col min="8" max="8" width="34.5703125" style="2" customWidth="1"/>
    <col min="9" max="9" width="11.42578125" style="92" customWidth="1"/>
    <col min="10" max="10" width="9.5703125" style="4" customWidth="1"/>
    <col min="11" max="11" width="11.85546875" style="92" customWidth="1"/>
    <col min="12" max="12" width="8.85546875" style="4" customWidth="1"/>
    <col min="13" max="13" width="14.28515625" style="4" customWidth="1"/>
    <col min="14" max="14" width="14.7109375" style="4" customWidth="1"/>
    <col min="15" max="16384" width="11.42578125" style="2"/>
  </cols>
  <sheetData>
    <row r="2" spans="2:14" x14ac:dyDescent="0.2">
      <c r="B2" s="125"/>
      <c r="C2" s="126"/>
      <c r="D2" s="114" t="s">
        <v>160</v>
      </c>
      <c r="E2" s="115"/>
      <c r="F2" s="114" t="s">
        <v>161</v>
      </c>
      <c r="G2" s="115"/>
      <c r="H2" s="114" t="s">
        <v>169</v>
      </c>
      <c r="I2" s="120"/>
      <c r="J2" s="120"/>
      <c r="K2" s="115"/>
      <c r="L2" s="123" t="s">
        <v>162</v>
      </c>
      <c r="M2" s="124"/>
      <c r="N2" s="111" t="s">
        <v>163</v>
      </c>
    </row>
    <row r="3" spans="2:14" x14ac:dyDescent="0.2">
      <c r="B3" s="127"/>
      <c r="C3" s="128"/>
      <c r="D3" s="116"/>
      <c r="E3" s="117"/>
      <c r="F3" s="116"/>
      <c r="G3" s="117"/>
      <c r="H3" s="116"/>
      <c r="I3" s="121"/>
      <c r="J3" s="121"/>
      <c r="K3" s="117"/>
      <c r="L3" s="123" t="s">
        <v>164</v>
      </c>
      <c r="M3" s="124"/>
      <c r="N3" s="112" t="s">
        <v>170</v>
      </c>
    </row>
    <row r="4" spans="2:14" ht="18" customHeight="1" x14ac:dyDescent="0.2">
      <c r="B4" s="127"/>
      <c r="C4" s="128"/>
      <c r="D4" s="116"/>
      <c r="E4" s="117"/>
      <c r="F4" s="116"/>
      <c r="G4" s="117"/>
      <c r="H4" s="116"/>
      <c r="I4" s="121"/>
      <c r="J4" s="121"/>
      <c r="K4" s="117"/>
      <c r="L4" s="123" t="s">
        <v>165</v>
      </c>
      <c r="M4" s="124"/>
      <c r="N4" s="113">
        <v>45675</v>
      </c>
    </row>
    <row r="5" spans="2:14" ht="15.75" customHeight="1" x14ac:dyDescent="0.2">
      <c r="B5" s="127"/>
      <c r="C5" s="128"/>
      <c r="D5" s="116"/>
      <c r="E5" s="117"/>
      <c r="F5" s="116"/>
      <c r="G5" s="117"/>
      <c r="H5" s="116"/>
      <c r="I5" s="121"/>
      <c r="J5" s="121"/>
      <c r="K5" s="117"/>
      <c r="L5" s="123" t="s">
        <v>166</v>
      </c>
      <c r="M5" s="124"/>
      <c r="N5" s="112" t="s">
        <v>167</v>
      </c>
    </row>
    <row r="6" spans="2:14" ht="15.75" customHeight="1" x14ac:dyDescent="0.2">
      <c r="B6" s="129"/>
      <c r="C6" s="130"/>
      <c r="D6" s="118"/>
      <c r="E6" s="119"/>
      <c r="F6" s="118"/>
      <c r="G6" s="119"/>
      <c r="H6" s="118"/>
      <c r="I6" s="122"/>
      <c r="J6" s="122"/>
      <c r="K6" s="119"/>
      <c r="L6" s="123" t="s">
        <v>168</v>
      </c>
      <c r="M6" s="124"/>
      <c r="N6" s="112" t="s">
        <v>163</v>
      </c>
    </row>
    <row r="7" spans="2:14" ht="16.5" customHeight="1" thickBot="1" x14ac:dyDescent="0.25">
      <c r="F7" s="4"/>
      <c r="G7" s="4"/>
      <c r="H7" s="3"/>
      <c r="I7" s="93"/>
      <c r="J7" s="51"/>
      <c r="K7" s="91"/>
      <c r="L7" s="3"/>
      <c r="M7" s="51"/>
      <c r="N7" s="51"/>
    </row>
    <row r="8" spans="2:14" ht="27" customHeight="1" x14ac:dyDescent="0.2">
      <c r="B8" s="8" t="s">
        <v>0</v>
      </c>
      <c r="C8" s="5" t="s">
        <v>1</v>
      </c>
      <c r="D8" s="5" t="s">
        <v>2</v>
      </c>
      <c r="E8" s="5" t="s">
        <v>3</v>
      </c>
      <c r="F8" s="5" t="s">
        <v>4</v>
      </c>
      <c r="G8" s="5" t="s">
        <v>5</v>
      </c>
      <c r="H8" s="5" t="s">
        <v>6</v>
      </c>
      <c r="I8" s="94" t="s">
        <v>7</v>
      </c>
      <c r="J8" s="53" t="s">
        <v>8</v>
      </c>
      <c r="K8" s="94" t="s">
        <v>9</v>
      </c>
      <c r="L8" s="53" t="s">
        <v>10</v>
      </c>
      <c r="M8" s="53" t="s">
        <v>11</v>
      </c>
      <c r="N8" s="53" t="s">
        <v>12</v>
      </c>
    </row>
    <row r="9" spans="2:14" ht="25.5" x14ac:dyDescent="0.2">
      <c r="B9" s="15">
        <v>1</v>
      </c>
      <c r="C9" s="16" t="s">
        <v>140</v>
      </c>
      <c r="D9" s="69" t="s">
        <v>13</v>
      </c>
      <c r="E9" s="17" t="s">
        <v>14</v>
      </c>
      <c r="F9" s="17" t="s">
        <v>119</v>
      </c>
      <c r="G9" s="17" t="s">
        <v>125</v>
      </c>
      <c r="H9" s="17" t="s">
        <v>15</v>
      </c>
      <c r="I9" s="95" t="s">
        <v>17</v>
      </c>
      <c r="J9" s="54">
        <f>IF(I9="B",1,IF(I9="M-",5,IF(I9="M",20,IF(I9="M+",50,100))))</f>
        <v>20</v>
      </c>
      <c r="K9" s="99" t="s">
        <v>54</v>
      </c>
      <c r="L9" s="54">
        <f t="shared" ref="L9:L32" si="0">IF(K9="B",0.2,IF(K9="M-",0.4,IF(K9="M",0.6,IF(K9="M+",0.8,1))))</f>
        <v>0.4</v>
      </c>
      <c r="M9" s="54">
        <f>+J9*L9</f>
        <v>8</v>
      </c>
      <c r="N9" s="54" t="str">
        <f>IF(M9&lt;=2,"B",IF(M9&lt;=8,"M",IF(M9&lt;=20,"A","E")))</f>
        <v>M</v>
      </c>
    </row>
    <row r="10" spans="2:14" ht="25.5" x14ac:dyDescent="0.2">
      <c r="B10" s="18">
        <v>2</v>
      </c>
      <c r="C10" s="16" t="s">
        <v>140</v>
      </c>
      <c r="D10" s="69" t="s">
        <v>134</v>
      </c>
      <c r="E10" s="17" t="s">
        <v>18</v>
      </c>
      <c r="F10" s="17" t="s">
        <v>19</v>
      </c>
      <c r="G10" s="17" t="s">
        <v>104</v>
      </c>
      <c r="H10" s="17" t="s">
        <v>114</v>
      </c>
      <c r="I10" s="95" t="s">
        <v>54</v>
      </c>
      <c r="J10" s="54">
        <f t="shared" ref="J10:J12" si="1">IF(I10="B",1,IF(I10="M-",5,IF(I10="M",20,IF(I10="M+",50,100))))</f>
        <v>5</v>
      </c>
      <c r="K10" s="99" t="s">
        <v>17</v>
      </c>
      <c r="L10" s="54">
        <f t="shared" ref="L10:L12" si="2">IF(K10="B",0.2,IF(K10="M-",0.4,IF(K10="M",0.6,IF(K10="M+",0.8,1))))</f>
        <v>0.6</v>
      </c>
      <c r="M10" s="54">
        <f t="shared" ref="M10:M12" si="3">+J10*L10</f>
        <v>3</v>
      </c>
      <c r="N10" s="54" t="str">
        <f t="shared" ref="N10:N12" si="4">IF(M10&lt;=2,"B",IF(M10&lt;=8,"M",IF(M10&lt;=20,"A","E")))</f>
        <v>M</v>
      </c>
    </row>
    <row r="11" spans="2:14" ht="25.5" x14ac:dyDescent="0.2">
      <c r="B11" s="18">
        <v>3</v>
      </c>
      <c r="C11" s="16" t="s">
        <v>141</v>
      </c>
      <c r="D11" s="69" t="s">
        <v>20</v>
      </c>
      <c r="E11" s="17" t="s">
        <v>21</v>
      </c>
      <c r="F11" s="17" t="s">
        <v>120</v>
      </c>
      <c r="G11" s="17" t="s">
        <v>67</v>
      </c>
      <c r="H11" s="17" t="s">
        <v>105</v>
      </c>
      <c r="I11" s="95" t="s">
        <v>49</v>
      </c>
      <c r="J11" s="54">
        <f t="shared" si="1"/>
        <v>50</v>
      </c>
      <c r="K11" s="99" t="s">
        <v>17</v>
      </c>
      <c r="L11" s="54">
        <f t="shared" si="2"/>
        <v>0.6</v>
      </c>
      <c r="M11" s="54">
        <f t="shared" si="3"/>
        <v>30</v>
      </c>
      <c r="N11" s="54" t="str">
        <f t="shared" si="4"/>
        <v>E</v>
      </c>
    </row>
    <row r="12" spans="2:14" ht="25.5" x14ac:dyDescent="0.2">
      <c r="B12" s="18">
        <v>4</v>
      </c>
      <c r="C12" s="16" t="s">
        <v>142</v>
      </c>
      <c r="D12" s="69" t="s">
        <v>22</v>
      </c>
      <c r="E12" s="17" t="s">
        <v>14</v>
      </c>
      <c r="F12" s="17" t="s">
        <v>23</v>
      </c>
      <c r="G12" s="17" t="s">
        <v>106</v>
      </c>
      <c r="H12" s="17" t="s">
        <v>114</v>
      </c>
      <c r="I12" s="95" t="s">
        <v>54</v>
      </c>
      <c r="J12" s="54">
        <f t="shared" si="1"/>
        <v>5</v>
      </c>
      <c r="K12" s="99" t="s">
        <v>17</v>
      </c>
      <c r="L12" s="54">
        <f t="shared" si="2"/>
        <v>0.6</v>
      </c>
      <c r="M12" s="54">
        <f t="shared" si="3"/>
        <v>3</v>
      </c>
      <c r="N12" s="54" t="str">
        <f t="shared" si="4"/>
        <v>M</v>
      </c>
    </row>
    <row r="13" spans="2:14" ht="51" x14ac:dyDescent="0.2">
      <c r="B13" s="15">
        <v>5</v>
      </c>
      <c r="C13" s="16" t="s">
        <v>143</v>
      </c>
      <c r="D13" s="69" t="s">
        <v>24</v>
      </c>
      <c r="E13" s="17" t="s">
        <v>18</v>
      </c>
      <c r="F13" s="17" t="s">
        <v>66</v>
      </c>
      <c r="G13" s="17" t="s">
        <v>107</v>
      </c>
      <c r="H13" s="17" t="s">
        <v>133</v>
      </c>
      <c r="I13" s="95" t="s">
        <v>17</v>
      </c>
      <c r="J13" s="54">
        <f t="shared" ref="J13:J32" si="5">IF(I13="B",1,IF(I13="M-",5,IF(I13="M",20,IF(I13="M+",50,100))))</f>
        <v>20</v>
      </c>
      <c r="K13" s="99" t="s">
        <v>17</v>
      </c>
      <c r="L13" s="54">
        <f t="shared" si="0"/>
        <v>0.6</v>
      </c>
      <c r="M13" s="54">
        <f t="shared" ref="M13:M32" si="6">+J13*L13</f>
        <v>12</v>
      </c>
      <c r="N13" s="54" t="str">
        <f t="shared" ref="N13:N32" si="7">IF(M13&lt;=2,"B",IF(M13&lt;=8,"M",IF(M13&lt;=20,"A","E")))</f>
        <v>A</v>
      </c>
    </row>
    <row r="14" spans="2:14" ht="25.5" x14ac:dyDescent="0.2">
      <c r="B14" s="18">
        <v>6</v>
      </c>
      <c r="C14" s="16" t="s">
        <v>144</v>
      </c>
      <c r="D14" s="69" t="s">
        <v>25</v>
      </c>
      <c r="E14" s="17" t="s">
        <v>26</v>
      </c>
      <c r="F14" s="17" t="s">
        <v>121</v>
      </c>
      <c r="G14" s="17" t="s">
        <v>109</v>
      </c>
      <c r="H14" s="17" t="s">
        <v>110</v>
      </c>
      <c r="I14" s="95" t="s">
        <v>49</v>
      </c>
      <c r="J14" s="54">
        <f t="shared" si="5"/>
        <v>50</v>
      </c>
      <c r="K14" s="99" t="s">
        <v>17</v>
      </c>
      <c r="L14" s="54">
        <f t="shared" si="0"/>
        <v>0.6</v>
      </c>
      <c r="M14" s="54">
        <f t="shared" si="6"/>
        <v>30</v>
      </c>
      <c r="N14" s="54" t="str">
        <f t="shared" si="7"/>
        <v>E</v>
      </c>
    </row>
    <row r="15" spans="2:14" s="3" customFormat="1" ht="51" x14ac:dyDescent="0.2">
      <c r="B15" s="18">
        <v>7</v>
      </c>
      <c r="C15" s="16" t="s">
        <v>143</v>
      </c>
      <c r="D15" s="69" t="s">
        <v>128</v>
      </c>
      <c r="E15" s="17" t="s">
        <v>14</v>
      </c>
      <c r="F15" s="17" t="s">
        <v>126</v>
      </c>
      <c r="G15" s="17" t="s">
        <v>127</v>
      </c>
      <c r="H15" s="17" t="s">
        <v>132</v>
      </c>
      <c r="I15" s="95" t="s">
        <v>17</v>
      </c>
      <c r="J15" s="54">
        <f t="shared" si="5"/>
        <v>20</v>
      </c>
      <c r="K15" s="99" t="s">
        <v>49</v>
      </c>
      <c r="L15" s="54">
        <f t="shared" si="0"/>
        <v>0.8</v>
      </c>
      <c r="M15" s="54">
        <f t="shared" si="6"/>
        <v>16</v>
      </c>
      <c r="N15" s="54" t="str">
        <f t="shared" si="7"/>
        <v>A</v>
      </c>
    </row>
    <row r="16" spans="2:14" s="3" customFormat="1" ht="38.450000000000003" customHeight="1" x14ac:dyDescent="0.2">
      <c r="B16" s="18">
        <v>8</v>
      </c>
      <c r="C16" s="16" t="s">
        <v>141</v>
      </c>
      <c r="D16" s="69" t="s">
        <v>27</v>
      </c>
      <c r="E16" s="17" t="s">
        <v>26</v>
      </c>
      <c r="F16" s="17" t="s">
        <v>129</v>
      </c>
      <c r="G16" s="17" t="s">
        <v>130</v>
      </c>
      <c r="H16" s="17" t="s">
        <v>131</v>
      </c>
      <c r="I16" s="95" t="s">
        <v>17</v>
      </c>
      <c r="J16" s="54">
        <f t="shared" si="5"/>
        <v>20</v>
      </c>
      <c r="K16" s="99" t="s">
        <v>17</v>
      </c>
      <c r="L16" s="54">
        <f t="shared" si="0"/>
        <v>0.6</v>
      </c>
      <c r="M16" s="54">
        <f t="shared" si="6"/>
        <v>12</v>
      </c>
      <c r="N16" s="54" t="str">
        <f t="shared" si="7"/>
        <v>A</v>
      </c>
    </row>
    <row r="17" spans="2:14" s="1" customFormat="1" ht="80.45" customHeight="1" x14ac:dyDescent="0.2">
      <c r="B17" s="15">
        <v>9</v>
      </c>
      <c r="C17" s="19" t="s">
        <v>145</v>
      </c>
      <c r="D17" s="69" t="s">
        <v>28</v>
      </c>
      <c r="E17" s="17" t="s">
        <v>26</v>
      </c>
      <c r="F17" s="17" t="s">
        <v>111</v>
      </c>
      <c r="G17" s="17" t="s">
        <v>112</v>
      </c>
      <c r="H17" s="17" t="s">
        <v>113</v>
      </c>
      <c r="I17" s="95" t="s">
        <v>49</v>
      </c>
      <c r="J17" s="54">
        <f t="shared" si="5"/>
        <v>50</v>
      </c>
      <c r="K17" s="99" t="s">
        <v>17</v>
      </c>
      <c r="L17" s="54">
        <f t="shared" si="0"/>
        <v>0.6</v>
      </c>
      <c r="M17" s="54">
        <f t="shared" si="6"/>
        <v>30</v>
      </c>
      <c r="N17" s="54" t="str">
        <f t="shared" si="7"/>
        <v>E</v>
      </c>
    </row>
    <row r="18" spans="2:14" ht="40.9" customHeight="1" x14ac:dyDescent="0.2">
      <c r="B18" s="18">
        <v>10</v>
      </c>
      <c r="C18" s="19" t="s">
        <v>146</v>
      </c>
      <c r="D18" s="69" t="s">
        <v>29</v>
      </c>
      <c r="E18" s="17" t="s">
        <v>26</v>
      </c>
      <c r="F18" s="17" t="s">
        <v>122</v>
      </c>
      <c r="G18" s="17" t="s">
        <v>124</v>
      </c>
      <c r="H18" s="17" t="s">
        <v>114</v>
      </c>
      <c r="I18" s="95" t="s">
        <v>17</v>
      </c>
      <c r="J18" s="54">
        <f t="shared" si="5"/>
        <v>20</v>
      </c>
      <c r="K18" s="99" t="s">
        <v>17</v>
      </c>
      <c r="L18" s="54">
        <f t="shared" si="0"/>
        <v>0.6</v>
      </c>
      <c r="M18" s="54">
        <f t="shared" si="6"/>
        <v>12</v>
      </c>
      <c r="N18" s="54" t="str">
        <f t="shared" si="7"/>
        <v>A</v>
      </c>
    </row>
    <row r="19" spans="2:14" ht="63.75" x14ac:dyDescent="0.2">
      <c r="B19" s="18">
        <v>11</v>
      </c>
      <c r="C19" s="19" t="s">
        <v>145</v>
      </c>
      <c r="D19" s="69" t="s">
        <v>30</v>
      </c>
      <c r="E19" s="17" t="s">
        <v>31</v>
      </c>
      <c r="F19" s="17" t="s">
        <v>115</v>
      </c>
      <c r="G19" s="17" t="s">
        <v>116</v>
      </c>
      <c r="H19" s="17" t="s">
        <v>117</v>
      </c>
      <c r="I19" s="95" t="s">
        <v>49</v>
      </c>
      <c r="J19" s="54">
        <f t="shared" si="5"/>
        <v>50</v>
      </c>
      <c r="K19" s="99" t="s">
        <v>17</v>
      </c>
      <c r="L19" s="54">
        <f t="shared" si="0"/>
        <v>0.6</v>
      </c>
      <c r="M19" s="54">
        <f t="shared" si="6"/>
        <v>30</v>
      </c>
      <c r="N19" s="54" t="str">
        <f t="shared" si="7"/>
        <v>E</v>
      </c>
    </row>
    <row r="20" spans="2:14" ht="90" customHeight="1" x14ac:dyDescent="0.2">
      <c r="B20" s="18">
        <v>12</v>
      </c>
      <c r="C20" s="19" t="s">
        <v>147</v>
      </c>
      <c r="D20" s="69" t="s">
        <v>32</v>
      </c>
      <c r="E20" s="17" t="s">
        <v>26</v>
      </c>
      <c r="F20" s="17" t="s">
        <v>123</v>
      </c>
      <c r="G20" s="17" t="s">
        <v>107</v>
      </c>
      <c r="H20" s="17" t="s">
        <v>108</v>
      </c>
      <c r="I20" s="95" t="s">
        <v>49</v>
      </c>
      <c r="J20" s="54">
        <f t="shared" si="5"/>
        <v>50</v>
      </c>
      <c r="K20" s="99" t="s">
        <v>17</v>
      </c>
      <c r="L20" s="54">
        <f t="shared" si="0"/>
        <v>0.6</v>
      </c>
      <c r="M20" s="54">
        <f t="shared" si="6"/>
        <v>30</v>
      </c>
      <c r="N20" s="54" t="str">
        <f t="shared" si="7"/>
        <v>E</v>
      </c>
    </row>
    <row r="21" spans="2:14" ht="51" x14ac:dyDescent="0.2">
      <c r="B21" s="15">
        <v>13</v>
      </c>
      <c r="C21" s="19" t="s">
        <v>143</v>
      </c>
      <c r="D21" s="69" t="s">
        <v>33</v>
      </c>
      <c r="E21" s="17" t="s">
        <v>26</v>
      </c>
      <c r="F21" s="17" t="s">
        <v>66</v>
      </c>
      <c r="G21" s="17" t="s">
        <v>107</v>
      </c>
      <c r="H21" s="17" t="s">
        <v>114</v>
      </c>
      <c r="I21" s="95" t="s">
        <v>49</v>
      </c>
      <c r="J21" s="54">
        <f t="shared" si="5"/>
        <v>50</v>
      </c>
      <c r="K21" s="99" t="s">
        <v>17</v>
      </c>
      <c r="L21" s="54">
        <f t="shared" si="0"/>
        <v>0.6</v>
      </c>
      <c r="M21" s="54">
        <f t="shared" si="6"/>
        <v>30</v>
      </c>
      <c r="N21" s="54" t="str">
        <f t="shared" si="7"/>
        <v>E</v>
      </c>
    </row>
    <row r="22" spans="2:14" ht="65.45" customHeight="1" x14ac:dyDescent="0.2">
      <c r="B22" s="18">
        <v>14</v>
      </c>
      <c r="C22" s="19" t="s">
        <v>143</v>
      </c>
      <c r="D22" s="69" t="s">
        <v>34</v>
      </c>
      <c r="E22" s="17" t="s">
        <v>18</v>
      </c>
      <c r="F22" s="17" t="s">
        <v>66</v>
      </c>
      <c r="G22" s="17" t="s">
        <v>118</v>
      </c>
      <c r="H22" s="17" t="s">
        <v>114</v>
      </c>
      <c r="I22" s="95" t="s">
        <v>57</v>
      </c>
      <c r="J22" s="54">
        <f t="shared" si="5"/>
        <v>1</v>
      </c>
      <c r="K22" s="99" t="s">
        <v>57</v>
      </c>
      <c r="L22" s="54">
        <f t="shared" si="0"/>
        <v>0.2</v>
      </c>
      <c r="M22" s="54">
        <f t="shared" si="6"/>
        <v>0.2</v>
      </c>
      <c r="N22" s="54" t="str">
        <f t="shared" si="7"/>
        <v>B</v>
      </c>
    </row>
    <row r="23" spans="2:14" ht="65.45" customHeight="1" x14ac:dyDescent="0.2">
      <c r="B23" s="18">
        <v>15</v>
      </c>
      <c r="C23" s="19" t="s">
        <v>143</v>
      </c>
      <c r="D23" s="69" t="s">
        <v>35</v>
      </c>
      <c r="E23" s="17" t="s">
        <v>18</v>
      </c>
      <c r="F23" s="17" t="s">
        <v>66</v>
      </c>
      <c r="G23" s="17" t="s">
        <v>118</v>
      </c>
      <c r="H23" s="17" t="s">
        <v>114</v>
      </c>
      <c r="I23" s="95" t="s">
        <v>17</v>
      </c>
      <c r="J23" s="54">
        <f t="shared" si="5"/>
        <v>20</v>
      </c>
      <c r="K23" s="99" t="s">
        <v>17</v>
      </c>
      <c r="L23" s="54">
        <f t="shared" si="0"/>
        <v>0.6</v>
      </c>
      <c r="M23" s="54">
        <f t="shared" si="6"/>
        <v>12</v>
      </c>
      <c r="N23" s="54" t="str">
        <f t="shared" si="7"/>
        <v>A</v>
      </c>
    </row>
    <row r="24" spans="2:14" ht="65.45" customHeight="1" x14ac:dyDescent="0.2">
      <c r="B24" s="18">
        <v>16</v>
      </c>
      <c r="C24" s="19" t="s">
        <v>143</v>
      </c>
      <c r="D24" s="69" t="s">
        <v>36</v>
      </c>
      <c r="E24" s="17" t="s">
        <v>18</v>
      </c>
      <c r="F24" s="17" t="s">
        <v>66</v>
      </c>
      <c r="G24" s="17" t="s">
        <v>118</v>
      </c>
      <c r="H24" s="17" t="s">
        <v>114</v>
      </c>
      <c r="I24" s="95" t="s">
        <v>17</v>
      </c>
      <c r="J24" s="54">
        <f t="shared" si="5"/>
        <v>20</v>
      </c>
      <c r="K24" s="99" t="s">
        <v>17</v>
      </c>
      <c r="L24" s="54">
        <f t="shared" si="0"/>
        <v>0.6</v>
      </c>
      <c r="M24" s="54">
        <f t="shared" si="6"/>
        <v>12</v>
      </c>
      <c r="N24" s="54" t="str">
        <f t="shared" si="7"/>
        <v>A</v>
      </c>
    </row>
    <row r="25" spans="2:14" ht="65.45" customHeight="1" x14ac:dyDescent="0.2">
      <c r="B25" s="15">
        <v>17</v>
      </c>
      <c r="C25" s="19" t="s">
        <v>143</v>
      </c>
      <c r="D25" s="69" t="s">
        <v>37</v>
      </c>
      <c r="E25" s="17" t="s">
        <v>18</v>
      </c>
      <c r="F25" s="17" t="s">
        <v>61</v>
      </c>
      <c r="G25" s="17" t="s">
        <v>67</v>
      </c>
      <c r="H25" s="17" t="s">
        <v>75</v>
      </c>
      <c r="I25" s="95" t="s">
        <v>54</v>
      </c>
      <c r="J25" s="54">
        <f t="shared" si="5"/>
        <v>5</v>
      </c>
      <c r="K25" s="99" t="s">
        <v>54</v>
      </c>
      <c r="L25" s="54">
        <f t="shared" si="0"/>
        <v>0.4</v>
      </c>
      <c r="M25" s="54">
        <f t="shared" si="6"/>
        <v>2</v>
      </c>
      <c r="N25" s="54" t="str">
        <f t="shared" si="7"/>
        <v>B</v>
      </c>
    </row>
    <row r="26" spans="2:14" ht="65.45" customHeight="1" x14ac:dyDescent="0.2">
      <c r="B26" s="18">
        <v>18</v>
      </c>
      <c r="C26" s="19" t="s">
        <v>143</v>
      </c>
      <c r="D26" s="69" t="s">
        <v>38</v>
      </c>
      <c r="E26" s="17" t="s">
        <v>18</v>
      </c>
      <c r="F26" s="17" t="s">
        <v>62</v>
      </c>
      <c r="G26" s="17" t="s">
        <v>68</v>
      </c>
      <c r="H26" s="17" t="s">
        <v>82</v>
      </c>
      <c r="I26" s="95" t="s">
        <v>57</v>
      </c>
      <c r="J26" s="54">
        <f t="shared" si="5"/>
        <v>1</v>
      </c>
      <c r="K26" s="99" t="s">
        <v>54</v>
      </c>
      <c r="L26" s="54">
        <f t="shared" si="0"/>
        <v>0.4</v>
      </c>
      <c r="M26" s="54">
        <f t="shared" si="6"/>
        <v>0.4</v>
      </c>
      <c r="N26" s="54" t="str">
        <f t="shared" si="7"/>
        <v>B</v>
      </c>
    </row>
    <row r="27" spans="2:14" ht="57" customHeight="1" x14ac:dyDescent="0.2">
      <c r="B27" s="18">
        <v>19</v>
      </c>
      <c r="C27" s="19" t="s">
        <v>148</v>
      </c>
      <c r="D27" s="69" t="s">
        <v>39</v>
      </c>
      <c r="E27" s="17" t="s">
        <v>26</v>
      </c>
      <c r="F27" s="17" t="s">
        <v>63</v>
      </c>
      <c r="G27" s="17" t="s">
        <v>72</v>
      </c>
      <c r="H27" s="17" t="s">
        <v>114</v>
      </c>
      <c r="I27" s="95" t="s">
        <v>17</v>
      </c>
      <c r="J27" s="54">
        <f t="shared" si="5"/>
        <v>20</v>
      </c>
      <c r="K27" s="99" t="s">
        <v>54</v>
      </c>
      <c r="L27" s="54">
        <f t="shared" si="0"/>
        <v>0.4</v>
      </c>
      <c r="M27" s="54">
        <f t="shared" si="6"/>
        <v>8</v>
      </c>
      <c r="N27" s="54" t="str">
        <f t="shared" si="7"/>
        <v>M</v>
      </c>
    </row>
    <row r="28" spans="2:14" ht="37.9" customHeight="1" x14ac:dyDescent="0.2">
      <c r="B28" s="15">
        <v>20</v>
      </c>
      <c r="C28" s="19" t="s">
        <v>149</v>
      </c>
      <c r="D28" s="69" t="s">
        <v>40</v>
      </c>
      <c r="E28" s="17" t="s">
        <v>26</v>
      </c>
      <c r="F28" s="17" t="s">
        <v>66</v>
      </c>
      <c r="G28" s="17" t="s">
        <v>68</v>
      </c>
      <c r="H28" s="17" t="s">
        <v>76</v>
      </c>
      <c r="I28" s="95" t="s">
        <v>17</v>
      </c>
      <c r="J28" s="54">
        <f t="shared" si="5"/>
        <v>20</v>
      </c>
      <c r="K28" s="99" t="s">
        <v>54</v>
      </c>
      <c r="L28" s="54">
        <f t="shared" si="0"/>
        <v>0.4</v>
      </c>
      <c r="M28" s="54">
        <f t="shared" si="6"/>
        <v>8</v>
      </c>
      <c r="N28" s="54" t="str">
        <f t="shared" si="7"/>
        <v>M</v>
      </c>
    </row>
    <row r="29" spans="2:14" ht="42.6" customHeight="1" x14ac:dyDescent="0.2">
      <c r="B29" s="18">
        <v>21</v>
      </c>
      <c r="C29" s="19" t="s">
        <v>140</v>
      </c>
      <c r="D29" s="69" t="s">
        <v>41</v>
      </c>
      <c r="E29" s="17" t="s">
        <v>14</v>
      </c>
      <c r="F29" s="17" t="s">
        <v>74</v>
      </c>
      <c r="G29" s="17" t="s">
        <v>73</v>
      </c>
      <c r="H29" s="17" t="s">
        <v>114</v>
      </c>
      <c r="I29" s="95" t="s">
        <v>17</v>
      </c>
      <c r="J29" s="54">
        <f t="shared" si="5"/>
        <v>20</v>
      </c>
      <c r="K29" s="99" t="s">
        <v>54</v>
      </c>
      <c r="L29" s="54">
        <f t="shared" si="0"/>
        <v>0.4</v>
      </c>
      <c r="M29" s="54">
        <f t="shared" si="6"/>
        <v>8</v>
      </c>
      <c r="N29" s="54" t="str">
        <f t="shared" si="7"/>
        <v>M</v>
      </c>
    </row>
    <row r="30" spans="2:14" ht="47.45" customHeight="1" x14ac:dyDescent="0.2">
      <c r="B30" s="18">
        <v>22</v>
      </c>
      <c r="C30" s="19" t="s">
        <v>140</v>
      </c>
      <c r="D30" s="69" t="s">
        <v>42</v>
      </c>
      <c r="E30" s="17" t="s">
        <v>43</v>
      </c>
      <c r="F30" s="17" t="s">
        <v>64</v>
      </c>
      <c r="G30" s="17" t="s">
        <v>69</v>
      </c>
      <c r="H30" s="17" t="s">
        <v>82</v>
      </c>
      <c r="I30" s="95" t="s">
        <v>54</v>
      </c>
      <c r="J30" s="54">
        <f t="shared" si="5"/>
        <v>5</v>
      </c>
      <c r="K30" s="99" t="s">
        <v>54</v>
      </c>
      <c r="L30" s="54">
        <f t="shared" si="0"/>
        <v>0.4</v>
      </c>
      <c r="M30" s="54">
        <f t="shared" si="6"/>
        <v>2</v>
      </c>
      <c r="N30" s="54" t="str">
        <f t="shared" si="7"/>
        <v>B</v>
      </c>
    </row>
    <row r="31" spans="2:14" ht="111" customHeight="1" x14ac:dyDescent="0.2">
      <c r="B31" s="18">
        <v>23</v>
      </c>
      <c r="C31" s="19" t="s">
        <v>143</v>
      </c>
      <c r="D31" s="69" t="s">
        <v>44</v>
      </c>
      <c r="E31" s="17" t="s">
        <v>26</v>
      </c>
      <c r="F31" s="17" t="s">
        <v>65</v>
      </c>
      <c r="G31" s="17" t="s">
        <v>70</v>
      </c>
      <c r="H31" s="17" t="s">
        <v>114</v>
      </c>
      <c r="I31" s="95" t="s">
        <v>49</v>
      </c>
      <c r="J31" s="54">
        <f t="shared" si="5"/>
        <v>50</v>
      </c>
      <c r="K31" s="99" t="s">
        <v>54</v>
      </c>
      <c r="L31" s="54">
        <f t="shared" si="0"/>
        <v>0.4</v>
      </c>
      <c r="M31" s="54">
        <f t="shared" si="6"/>
        <v>20</v>
      </c>
      <c r="N31" s="54" t="str">
        <f t="shared" si="7"/>
        <v>A</v>
      </c>
    </row>
    <row r="32" spans="2:14" ht="34.15" customHeight="1" x14ac:dyDescent="0.2">
      <c r="B32" s="15">
        <v>24</v>
      </c>
      <c r="C32" s="19" t="s">
        <v>146</v>
      </c>
      <c r="D32" s="69" t="s">
        <v>45</v>
      </c>
      <c r="E32" s="17" t="s">
        <v>26</v>
      </c>
      <c r="F32" s="17" t="s">
        <v>63</v>
      </c>
      <c r="G32" s="17" t="s">
        <v>71</v>
      </c>
      <c r="H32" s="17" t="s">
        <v>114</v>
      </c>
      <c r="I32" s="95" t="s">
        <v>17</v>
      </c>
      <c r="J32" s="54">
        <f t="shared" si="5"/>
        <v>20</v>
      </c>
      <c r="K32" s="99" t="s">
        <v>54</v>
      </c>
      <c r="L32" s="54">
        <f t="shared" si="0"/>
        <v>0.4</v>
      </c>
      <c r="M32" s="54">
        <f t="shared" si="6"/>
        <v>8</v>
      </c>
      <c r="N32" s="54" t="str">
        <f t="shared" si="7"/>
        <v>M</v>
      </c>
    </row>
    <row r="33" spans="2:14" ht="15.95" customHeight="1" x14ac:dyDescent="0.2">
      <c r="B33" s="4"/>
      <c r="C33" s="12"/>
      <c r="D33" s="13"/>
      <c r="E33" s="12"/>
      <c r="F33" s="14"/>
      <c r="G33" s="12"/>
      <c r="H33" s="12"/>
      <c r="I33" s="96"/>
      <c r="J33" s="12"/>
      <c r="K33" s="96"/>
      <c r="L33" s="12"/>
      <c r="M33" s="12"/>
      <c r="N33" s="12"/>
    </row>
    <row r="35" spans="2:14" x14ac:dyDescent="0.2">
      <c r="G35" s="6"/>
    </row>
    <row r="36" spans="2:14" x14ac:dyDescent="0.2">
      <c r="G36" s="6"/>
    </row>
    <row r="37" spans="2:14" x14ac:dyDescent="0.2">
      <c r="G37" s="6"/>
    </row>
    <row r="38" spans="2:14" x14ac:dyDescent="0.2">
      <c r="G38" s="6"/>
    </row>
    <row r="39" spans="2:14" x14ac:dyDescent="0.2">
      <c r="G39" s="6"/>
    </row>
  </sheetData>
  <autoFilter ref="B8:N32" xr:uid="{00000000-0009-0000-0000-000000000000}"/>
  <mergeCells count="9">
    <mergeCell ref="B2:C6"/>
    <mergeCell ref="D2:E6"/>
    <mergeCell ref="F2:G6"/>
    <mergeCell ref="H2:K6"/>
    <mergeCell ref="L2:M2"/>
    <mergeCell ref="L3:M3"/>
    <mergeCell ref="L4:M4"/>
    <mergeCell ref="L5:M5"/>
    <mergeCell ref="L6:M6"/>
  </mergeCells>
  <phoneticPr fontId="0" type="noConversion"/>
  <dataValidations xWindow="588" yWindow="472" count="9">
    <dataValidation type="list" allowBlank="1" showInputMessage="1" showErrorMessage="1" prompt="Seleccione el Impacto" sqref="I33" xr:uid="{00000000-0002-0000-0000-000001000000}">
      <formula1>#REF!</formula1>
    </dataValidation>
    <dataValidation type="list" allowBlank="1" showInputMessage="1" showErrorMessage="1" sqref="K33 E33" xr:uid="{00000000-0002-0000-0000-000002000000}">
      <formula1>#REF!</formula1>
    </dataValidation>
    <dataValidation type="list" allowBlank="1" showInputMessage="1" showErrorMessage="1" prompt="Ingrese la vulnerabilidad que explota esta amenaza" sqref="G33" xr:uid="{00000000-0002-0000-0000-000005000000}">
      <formula1>#REF!</formula1>
    </dataValidation>
    <dataValidation type="decimal" allowBlank="1" showInputMessage="1" showErrorMessage="1" sqref="M9:M33" xr:uid="{00000000-0002-0000-0000-000007000000}">
      <formula1>0</formula1>
      <formula2>100</formula2>
    </dataValidation>
    <dataValidation type="list" allowBlank="1" showInputMessage="1" showErrorMessage="1" prompt="Ingrese las amenazas a las que se ve expuesto el proceso en el que interviene" sqref="F33" xr:uid="{00000000-0002-0000-0000-000003000000}">
      <formula1>#REF!</formula1>
    </dataValidation>
    <dataValidation type="list" allowBlank="1" showInputMessage="1" showErrorMessage="1" prompt="Ingrese los escenarios de riesgo que se pueden presentar y afectar al negocio" sqref="H33" xr:uid="{00000000-0002-0000-0000-000004000000}">
      <formula1>#REF!</formula1>
    </dataValidation>
    <dataValidation type="list" allowBlank="1" showInputMessage="1" showErrorMessage="1" prompt="Identifique la categoría a la cual pertenece el activo" sqref="E9:E32" xr:uid="{00000000-0002-0000-0000-000008000000}">
      <formula1>#REF!</formula1>
    </dataValidation>
    <dataValidation type="list" allowBlank="1" showInputMessage="1" showErrorMessage="1" prompt="Seleccione el Impacto" sqref="I9:I32" xr:uid="{00000000-0002-0000-0000-000009000000}">
      <formula1>#REF!</formula1>
    </dataValidation>
    <dataValidation type="list" allowBlank="1" showInputMessage="1" showErrorMessage="1" prompt="Seleccione la probilidad de ocurrencia de la amenaza" sqref="K9:K32" xr:uid="{00000000-0002-0000-0000-00000A000000}">
      <formula1>#REF!</formula1>
    </dataValidation>
  </dataValidations>
  <printOptions horizontalCentered="1"/>
  <pageMargins left="0.39370078740157483" right="0.39370078740157483" top="1.1811023622047245" bottom="0.39370078740157483" header="0" footer="0"/>
  <pageSetup scale="50" orientation="landscape" horizontalDpi="1200" verticalDpi="1200" r:id="rId1"/>
  <headerFooter alignWithMargins="0"/>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EAA07A-C5EB-43DC-AF08-856C2CBF02D7}">
  <dimension ref="B1:S23"/>
  <sheetViews>
    <sheetView workbookViewId="0">
      <selection activeCell="M10" sqref="M10"/>
    </sheetView>
  </sheetViews>
  <sheetFormatPr baseColWidth="10" defaultColWidth="10.7109375" defaultRowHeight="12.75" x14ac:dyDescent="0.2"/>
  <cols>
    <col min="1" max="1" width="3" style="20" customWidth="1"/>
    <col min="2" max="2" width="3.28515625" style="20" bestFit="1" customWidth="1"/>
    <col min="3" max="3" width="10.7109375" style="20" customWidth="1"/>
    <col min="4" max="4" width="5.28515625" style="20" customWidth="1"/>
    <col min="5" max="5" width="1.7109375" style="20" bestFit="1" customWidth="1"/>
    <col min="6" max="6" width="10.7109375" style="20" customWidth="1"/>
    <col min="7" max="9" width="10.7109375" style="20"/>
    <col min="10" max="10" width="11.7109375" style="20" bestFit="1" customWidth="1"/>
    <col min="11" max="11" width="6.7109375" style="20" customWidth="1"/>
    <col min="12" max="12" width="11.42578125" style="20" bestFit="1" customWidth="1"/>
    <col min="13" max="13" width="8.85546875" style="20" bestFit="1" customWidth="1"/>
    <col min="14" max="14" width="11.28515625" style="20" bestFit="1" customWidth="1"/>
    <col min="15" max="15" width="3.85546875" style="20" customWidth="1"/>
    <col min="16" max="16" width="3" style="20" customWidth="1"/>
    <col min="17" max="16384" width="10.7109375" style="20"/>
  </cols>
  <sheetData>
    <row r="1" spans="2:19" ht="13.5" thickBot="1" x14ac:dyDescent="0.25"/>
    <row r="2" spans="2:19" s="25" customFormat="1" ht="16.5" thickBot="1" x14ac:dyDescent="0.3">
      <c r="B2" s="22"/>
      <c r="C2" s="23"/>
      <c r="D2" s="23"/>
      <c r="E2" s="24"/>
      <c r="F2" s="131" t="s">
        <v>97</v>
      </c>
      <c r="G2" s="132"/>
      <c r="H2" s="132"/>
      <c r="I2" s="132"/>
      <c r="J2" s="133"/>
      <c r="N2" s="26"/>
      <c r="S2" s="23"/>
    </row>
    <row r="4" spans="2:19" ht="13.5" thickBot="1" x14ac:dyDescent="0.25">
      <c r="F4" s="27"/>
      <c r="J4" s="27"/>
      <c r="L4" s="68" t="s">
        <v>101</v>
      </c>
      <c r="M4" s="68" t="s">
        <v>100</v>
      </c>
    </row>
    <row r="5" spans="2:19" ht="42" customHeight="1" thickBot="1" x14ac:dyDescent="0.25">
      <c r="B5" s="28" t="s">
        <v>16</v>
      </c>
      <c r="C5" s="28" t="s">
        <v>83</v>
      </c>
      <c r="D5" s="135" t="s">
        <v>81</v>
      </c>
      <c r="E5" s="29">
        <v>5</v>
      </c>
      <c r="F5" s="36" t="str">
        <f>IF(COUNTIFS('Riesgo Inherente'!$I$9:$I$32,"=B",'Riesgo Inherente'!$K$9:$K$32,"=A")=0,"",COUNTIFS('Riesgo Inherente'!$I$9:$I$32,"=B",'Riesgo Inherente'!$K$9:$K$32,"=A"))</f>
        <v/>
      </c>
      <c r="G5" s="37" t="str">
        <f>IF(COUNTIFS('Riesgo Inherente'!$I$9:$I$32,"=M-",'Riesgo Inherente'!$K$9:$K$32,"=A")=0,"",COUNTIFS('Riesgo Inherente'!$I$9:$I$32,"=M-",'Riesgo Inherente'!$K$9:$K$32,"=A"))</f>
        <v/>
      </c>
      <c r="H5" s="42" t="str">
        <f>IF(COUNTIFS('Riesgo Inherente'!$I$9:$I$32,"=M",'Riesgo Inherente'!$K$9:$K$32,"=A")=0,"",COUNTIFS('Riesgo Inherente'!$I$9:$I$32,"=M",'Riesgo Inherente'!$K$9:$K$32,"=A"))</f>
        <v/>
      </c>
      <c r="I5" s="59" t="str">
        <f>IF(COUNTIFS('Riesgo Inherente'!$I$9:$I$32,"=M+",'Riesgo Inherente'!$K$9:$K$32,"=A")=0,"",COUNTIFS('Riesgo Inherente'!$I$9:$I$32,"=M+",'Riesgo Inherente'!$K$9:$K$32,"=A"))</f>
        <v/>
      </c>
      <c r="J5" s="59" t="str">
        <f>IF(COUNTIFS('Riesgo Inherente'!$I$9:$I$32,"=A",'Riesgo Inherente'!$K$9:$K$32,"=A")=0,"",COUNTIFS('Riesgo Inherente'!$I$9:$I$32,"=A",'Riesgo Inherente'!$K$9:$K$32,"=A"))</f>
        <v/>
      </c>
      <c r="L5" s="63" t="s">
        <v>103</v>
      </c>
      <c r="M5" s="63">
        <f>+COUNTIF('Riesgo Inherente'!$N$9:$N$32,"=E")</f>
        <v>6</v>
      </c>
      <c r="N5" s="48"/>
      <c r="O5" s="49"/>
      <c r="P5" s="47"/>
    </row>
    <row r="6" spans="2:19" ht="42" customHeight="1" thickBot="1" x14ac:dyDescent="0.25">
      <c r="B6" s="28" t="s">
        <v>49</v>
      </c>
      <c r="C6" s="28" t="s">
        <v>78</v>
      </c>
      <c r="D6" s="135"/>
      <c r="E6" s="29">
        <v>4</v>
      </c>
      <c r="F6" s="34" t="str">
        <f>IF(COUNTIFS('Riesgo Inherente'!$I$9:$I$32,"=B",'Riesgo Inherente'!$K$9:$K$32,"=M+")=0,"",COUNTIFS('Riesgo Inherente'!$I$9:$I$32,"=B",'Riesgo Inherente'!$K$9:$K$32,"=M+"))</f>
        <v/>
      </c>
      <c r="G6" s="38" t="str">
        <f>IF(COUNTIFS('Riesgo Inherente'!$I$9:$I$32,"=M-",'Riesgo Inherente'!$K$9:$K$32,"=M+")=0,"",COUNTIFS('Riesgo Inherente'!$I$9:$I$32,"=M-",'Riesgo Inherente'!$K$9:$K$32,"=M+"))</f>
        <v/>
      </c>
      <c r="H6" s="43">
        <f>IF(COUNTIFS('Riesgo Inherente'!$I$9:$I$32,"=M",'Riesgo Inherente'!$K$9:$K$32,"=M+")=0,"",COUNTIFS('Riesgo Inherente'!$I$9:$I$32,"=M",'Riesgo Inherente'!$K$9:$K$32,"=M+"))</f>
        <v>1</v>
      </c>
      <c r="I6" s="60" t="str">
        <f>IF(COUNTIFS('Riesgo Inherente'!$I$9:$I$32,"=M+",'Riesgo Inherente'!$K$9:$K$32,"=M+")=0,"",COUNTIFS('Riesgo Inherente'!$I$9:$I$32,"=M+",'Riesgo Inherente'!$K$9:$K$32,"=M+"))</f>
        <v/>
      </c>
      <c r="J6" s="61" t="str">
        <f>IF(COUNTIFS('Riesgo Inherente'!$I$9:$I$32,"=A",'Riesgo Inherente'!$K$9:$K$32,"=M+")=0,"",COUNTIFS('Riesgo Inherente'!$I$9:$I$32,"=A",'Riesgo Inherente'!$K$9:$K$32,"=M+"))</f>
        <v/>
      </c>
      <c r="K6" s="30"/>
      <c r="L6" s="46" t="s">
        <v>102</v>
      </c>
      <c r="M6" s="56">
        <f>+COUNTIF('Riesgo Inherente'!$N$9:$N$32,"=A")</f>
        <v>7</v>
      </c>
      <c r="N6" s="64" t="s">
        <v>99</v>
      </c>
      <c r="O6" s="65">
        <f>SUM(M5:M6)</f>
        <v>13</v>
      </c>
      <c r="P6" s="47"/>
    </row>
    <row r="7" spans="2:19" ht="42" customHeight="1" thickBot="1" x14ac:dyDescent="0.25">
      <c r="B7" s="28" t="s">
        <v>17</v>
      </c>
      <c r="C7" s="28" t="s">
        <v>80</v>
      </c>
      <c r="D7" s="135"/>
      <c r="E7" s="29">
        <v>3</v>
      </c>
      <c r="F7" s="34" t="str">
        <f>IF(COUNTIFS('Riesgo Inherente'!$I$9:$I$32,"=B",'Riesgo Inherente'!$K$9:$K$32,"=M")=0,"",COUNTIFS('Riesgo Inherente'!$I$9:$I$32,"=B",'Riesgo Inherente'!$K$9:$K$32,"=M"))</f>
        <v/>
      </c>
      <c r="G7" s="39">
        <f>IF(COUNTIFS('Riesgo Inherente'!$I$9:$I$32,"=M-",'Riesgo Inherente'!$K$9:$K$32,"=M")=0,"",COUNTIFS('Riesgo Inherente'!$I$9:$I$32,"=M-",'Riesgo Inherente'!$K$9:$K$32,"=M"))</f>
        <v>2</v>
      </c>
      <c r="H7" s="42">
        <f>IF(COUNTIFS('Riesgo Inherente'!$I$9:$I$32,"=M",'Riesgo Inherente'!$K$9:$K$32,"=M")=0,"",COUNTIFS('Riesgo Inherente'!$I$9:$I$32,"=M",'Riesgo Inherente'!$K$9:$K$32,"=M"))</f>
        <v>5</v>
      </c>
      <c r="I7" s="62">
        <f>IF(COUNTIFS('Riesgo Inherente'!$I$9:$I$32,"=M+",'Riesgo Inherente'!$K$9:$K$32,"=M")=0,"",COUNTIFS('Riesgo Inherente'!$I$9:$I$32,"=M+",'Riesgo Inherente'!$K$9:$K$32,"=M"))</f>
        <v>6</v>
      </c>
      <c r="J7" s="59" t="str">
        <f>IF(COUNTIFS('Riesgo Inherente'!$I$9:$I$32,"=A",'Riesgo Inherente'!$K$9:$K$32,"=M")=0,"",COUNTIFS('Riesgo Inherente'!$I$9:$I$32,"=A",'Riesgo Inherente'!$K$9:$K$32,"=M"))</f>
        <v/>
      </c>
      <c r="K7" s="30"/>
      <c r="L7" s="57" t="s">
        <v>91</v>
      </c>
      <c r="M7" s="58">
        <f>+COUNTIF('Riesgo Inherente'!$N$9:$N$32,"=M")</f>
        <v>7</v>
      </c>
      <c r="N7" s="66" t="s">
        <v>98</v>
      </c>
      <c r="O7" s="67">
        <f>SUM(M7:M8)</f>
        <v>11</v>
      </c>
      <c r="P7" s="47"/>
    </row>
    <row r="8" spans="2:19" ht="42" customHeight="1" thickBot="1" x14ac:dyDescent="0.25">
      <c r="B8" s="28" t="s">
        <v>54</v>
      </c>
      <c r="C8" s="28" t="s">
        <v>84</v>
      </c>
      <c r="D8" s="135"/>
      <c r="E8" s="29">
        <v>2</v>
      </c>
      <c r="F8" s="31">
        <f>IF(COUNTIFS('Riesgo Inherente'!$I$9:$I$32,"=B",'Riesgo Inherente'!$K$9:$K$32,"=M-")=0,"",COUNTIFS('Riesgo Inherente'!$I$9:$I$32,"=B",'Riesgo Inherente'!$K$9:$K$32,"=M-"))</f>
        <v>1</v>
      </c>
      <c r="G8" s="34">
        <f>IF(COUNTIFS('Riesgo Inherente'!$I$9:$I$32,"=M-",'Riesgo Inherente'!$K$9:$K$32,"=M-")=0,"",COUNTIFS('Riesgo Inherente'!$I$9:$I$32,"=M-",'Riesgo Inherente'!$K$9:$K$32,"=M-"))</f>
        <v>2</v>
      </c>
      <c r="H8" s="40">
        <f>IF(COUNTIFS('Riesgo Inherente'!$I$9:$I$32,"=M",'Riesgo Inherente'!$K$9:$K$32,"=M-")=0,"",COUNTIFS('Riesgo Inherente'!$I$9:$I$32,"=M",'Riesgo Inherente'!$K$9:$K$32,"=M-"))</f>
        <v>5</v>
      </c>
      <c r="I8" s="44">
        <f>IF(COUNTIFS('Riesgo Inherente'!$I$9:$I$32,"=M+",'Riesgo Inherente'!$K$9:$K$32,"=M-")=0,"",COUNTIFS('Riesgo Inherente'!$I$9:$I$32,"=M+",'Riesgo Inherente'!$K$9:$K$32,"=M-"))</f>
        <v>1</v>
      </c>
      <c r="J8" s="61" t="str">
        <f>IF(COUNTIFS('Riesgo Inherente'!$I$9:$I$32,"=A",'Riesgo Inherente'!$K$9:$K$32,"=M-")=0,"",COUNTIFS('Riesgo Inherente'!$I$9:$I$32,"=A",'Riesgo Inherente'!$K$9:$K$32,"=M-"))</f>
        <v/>
      </c>
      <c r="K8" s="30"/>
      <c r="L8" s="35" t="s">
        <v>79</v>
      </c>
      <c r="M8" s="35">
        <f>+COUNTIF('Riesgo Inherente'!$N$9:$N$32,"=B")</f>
        <v>4</v>
      </c>
      <c r="N8" s="50"/>
      <c r="O8" s="49"/>
      <c r="P8" s="47"/>
    </row>
    <row r="9" spans="2:19" ht="42" customHeight="1" x14ac:dyDescent="0.2">
      <c r="B9" s="28" t="s">
        <v>57</v>
      </c>
      <c r="C9" s="28" t="s">
        <v>85</v>
      </c>
      <c r="D9" s="135"/>
      <c r="E9" s="29">
        <v>1</v>
      </c>
      <c r="F9" s="32">
        <f>IF(COUNTIFS('Riesgo Inherente'!$I$9:$I$32,"=B",'Riesgo Inherente'!$K$9:$K$32,"=B")=0,"",COUNTIFS('Riesgo Inherente'!$I$9:$I$32,"=B",'Riesgo Inherente'!$K$9:$K$32,"=B"))</f>
        <v>1</v>
      </c>
      <c r="G9" s="33" t="str">
        <f>IF(COUNTIFS('Riesgo Inherente'!$I$9:$I$32,"=M-",'Riesgo Inherente'!$K$9:$K$32,"=B")=0,"",COUNTIFS('Riesgo Inherente'!$I$9:$I$32,"=M-",'Riesgo Inherente'!$K$9:$K$32,"=B"))</f>
        <v/>
      </c>
      <c r="H9" s="41" t="str">
        <f>IF(COUNTIFS('Riesgo Inherente'!$I$9:$I$32,"=M",'Riesgo Inherente'!$K$9:$K$32,"=B")=0,"",COUNTIFS('Riesgo Inherente'!$I$9:$I$32,"=M",'Riesgo Inherente'!$K$9:$K$32,"=B"))</f>
        <v/>
      </c>
      <c r="I9" s="45" t="str">
        <f>IF(COUNTIFS('Riesgo Inherente'!$I$9:$I$32,"=M+",'Riesgo Inherente'!$K$9:$K$32,"=B")=0,"",COUNTIFS('Riesgo Inherente'!$I$9:$I$32,"=M+",'Riesgo Inherente'!$K$9:$K$32,"=B"))</f>
        <v/>
      </c>
      <c r="J9" s="45" t="str">
        <f>IF(COUNTIFS('Riesgo Inherente'!$I$9:$I$32,"=A",'Riesgo Inherente'!$K$9:$K$32,"=B")=0,"",COUNTIFS('Riesgo Inherente'!$I$9:$I$32,"=A",'Riesgo Inherente'!$K$9:$K$32,"=B"))</f>
        <v/>
      </c>
      <c r="K9" s="30"/>
    </row>
    <row r="10" spans="2:19" x14ac:dyDescent="0.2">
      <c r="F10" s="21">
        <v>1</v>
      </c>
      <c r="G10" s="21">
        <v>2</v>
      </c>
      <c r="H10" s="21">
        <v>3</v>
      </c>
      <c r="I10" s="21">
        <v>4</v>
      </c>
      <c r="J10" s="21">
        <v>5</v>
      </c>
    </row>
    <row r="11" spans="2:19" ht="13.15" customHeight="1" x14ac:dyDescent="0.2">
      <c r="F11" s="134" t="s">
        <v>77</v>
      </c>
      <c r="G11" s="134"/>
      <c r="H11" s="134"/>
      <c r="I11" s="134"/>
      <c r="J11" s="134"/>
    </row>
    <row r="12" spans="2:19" x14ac:dyDescent="0.2">
      <c r="F12" s="28" t="s">
        <v>86</v>
      </c>
      <c r="G12" s="28" t="s">
        <v>87</v>
      </c>
      <c r="H12" s="28" t="s">
        <v>88</v>
      </c>
      <c r="I12" s="28" t="s">
        <v>89</v>
      </c>
      <c r="J12" s="28" t="s">
        <v>90</v>
      </c>
    </row>
    <row r="13" spans="2:19" x14ac:dyDescent="0.2">
      <c r="F13" s="28" t="s">
        <v>57</v>
      </c>
      <c r="G13" s="28" t="s">
        <v>54</v>
      </c>
      <c r="H13" s="28" t="s">
        <v>17</v>
      </c>
      <c r="I13" s="28" t="s">
        <v>49</v>
      </c>
      <c r="J13" s="28" t="s">
        <v>16</v>
      </c>
    </row>
    <row r="20" spans="7:7" x14ac:dyDescent="0.2">
      <c r="G20"/>
    </row>
    <row r="21" spans="7:7" x14ac:dyDescent="0.2">
      <c r="G21"/>
    </row>
    <row r="22" spans="7:7" x14ac:dyDescent="0.2">
      <c r="G22"/>
    </row>
    <row r="23" spans="7:7" x14ac:dyDescent="0.2">
      <c r="G23"/>
    </row>
  </sheetData>
  <mergeCells count="3">
    <mergeCell ref="F2:J2"/>
    <mergeCell ref="F11:J11"/>
    <mergeCell ref="D5:D9"/>
  </mergeCells>
  <conditionalFormatting sqref="Q2">
    <cfRule type="containsText" dxfId="5" priority="1" operator="containsText" text="muy">
      <formula>NOT(ISERROR(SEARCH("muy",Q2)))</formula>
    </cfRule>
    <cfRule type="containsText" dxfId="4" priority="2" operator="containsText" text="alto">
      <formula>NOT(ISERROR(SEARCH("alto",Q2)))</formula>
    </cfRule>
    <cfRule type="containsText" dxfId="3" priority="3" operator="containsText" text="medio">
      <formula>NOT(ISERROR(SEARCH("medio",Q2)))</formula>
    </cfRule>
    <cfRule type="containsText" dxfId="2" priority="4" operator="containsText" text="bajo">
      <formula>NOT(ISERROR(SEARCH("bajo",Q2)))</formula>
    </cfRule>
  </conditionalFormatting>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1950A8-C71B-48B5-AFF0-F05326069985}">
  <dimension ref="B2:L27"/>
  <sheetViews>
    <sheetView workbookViewId="0">
      <selection activeCell="E10" sqref="E10"/>
    </sheetView>
  </sheetViews>
  <sheetFormatPr baseColWidth="10" defaultColWidth="11.42578125" defaultRowHeight="12.75" x14ac:dyDescent="0.2"/>
  <cols>
    <col min="1" max="1" width="4.28515625" customWidth="1"/>
    <col min="2" max="2" width="34.28515625" bestFit="1" customWidth="1"/>
    <col min="3" max="3" width="42.42578125" bestFit="1" customWidth="1"/>
    <col min="4" max="4" width="8.42578125" customWidth="1"/>
    <col min="5" max="5" width="10.42578125" bestFit="1" customWidth="1"/>
    <col min="6" max="6" width="9.28515625" bestFit="1" customWidth="1"/>
    <col min="7" max="7" width="10.28515625" bestFit="1" customWidth="1"/>
    <col min="8" max="8" width="6.28515625" bestFit="1" customWidth="1"/>
    <col min="9" max="9" width="107.28515625" customWidth="1"/>
    <col min="10" max="10" width="3.7109375" customWidth="1"/>
    <col min="11" max="11" width="2.5703125" bestFit="1" customWidth="1"/>
  </cols>
  <sheetData>
    <row r="2" spans="2:12" x14ac:dyDescent="0.2">
      <c r="B2" s="136" t="s">
        <v>2</v>
      </c>
      <c r="C2" s="136" t="s">
        <v>6</v>
      </c>
      <c r="D2" s="138" t="s">
        <v>137</v>
      </c>
      <c r="E2" s="140" t="s">
        <v>96</v>
      </c>
      <c r="F2" s="141"/>
      <c r="G2" s="141"/>
      <c r="H2" s="141"/>
      <c r="I2" s="142"/>
      <c r="K2" s="55" t="s">
        <v>159</v>
      </c>
      <c r="L2" s="55" t="s">
        <v>103</v>
      </c>
    </row>
    <row r="3" spans="2:12" x14ac:dyDescent="0.2">
      <c r="B3" s="137"/>
      <c r="C3" s="137"/>
      <c r="D3" s="139"/>
      <c r="E3" s="55" t="s">
        <v>92</v>
      </c>
      <c r="F3" s="55" t="s">
        <v>93</v>
      </c>
      <c r="G3" s="55" t="s">
        <v>94</v>
      </c>
      <c r="H3" s="55" t="s">
        <v>95</v>
      </c>
      <c r="I3" s="78" t="s">
        <v>152</v>
      </c>
      <c r="K3" s="55" t="s">
        <v>16</v>
      </c>
      <c r="L3" s="55" t="s">
        <v>102</v>
      </c>
    </row>
    <row r="4" spans="2:12" x14ac:dyDescent="0.2">
      <c r="B4" s="83" t="str">
        <f>+'Riesgo Inherente'!D9</f>
        <v>Pedidos de ventas - Documento</v>
      </c>
      <c r="C4" s="84" t="str">
        <f>+VLOOKUP(B4,'Riesgo Inherente'!D:H,5,)</f>
        <v>Pérdida de información</v>
      </c>
      <c r="D4" s="75" t="str">
        <f>+VLOOKUP(B4,'Riesgo Inherente'!D9:N32,11,)</f>
        <v>M</v>
      </c>
      <c r="E4" s="75"/>
      <c r="F4" s="75"/>
      <c r="G4" s="75"/>
      <c r="H4" s="76"/>
      <c r="I4" s="80"/>
      <c r="K4" s="55" t="s">
        <v>17</v>
      </c>
      <c r="L4" s="55" t="s">
        <v>91</v>
      </c>
    </row>
    <row r="5" spans="2:12" x14ac:dyDescent="0.2">
      <c r="B5" s="85" t="str">
        <f>+'Riesgo Inherente'!D10</f>
        <v>Computadores</v>
      </c>
      <c r="C5" s="86" t="str">
        <f>+VLOOKUP(B5,'Riesgo Inherente'!D:H,5,)</f>
        <v>Fuga / Pérdida de información</v>
      </c>
      <c r="D5" s="77" t="str">
        <f>+VLOOKUP(B5,'Riesgo Inherente'!D10:N32,11,)</f>
        <v>M</v>
      </c>
      <c r="E5" s="77"/>
      <c r="F5" s="77"/>
      <c r="G5" s="77"/>
      <c r="H5" s="70"/>
      <c r="I5" s="81"/>
      <c r="K5" s="55" t="s">
        <v>57</v>
      </c>
      <c r="L5" s="55" t="s">
        <v>79</v>
      </c>
    </row>
    <row r="6" spans="2:12" ht="25.5" x14ac:dyDescent="0.2">
      <c r="B6" s="87" t="str">
        <f>+'Riesgo Inherente'!D11</f>
        <v>Servicio de electricidad</v>
      </c>
      <c r="C6" s="88" t="str">
        <f>+VLOOKUP(B6,'Riesgo Inherente'!D:H,5,)</f>
        <v>Pérdida de operaciones</v>
      </c>
      <c r="D6" s="71" t="str">
        <f>+VLOOKUP(B6,'Riesgo Inherente'!D11:N32,11,)</f>
        <v>E</v>
      </c>
      <c r="E6" s="71"/>
      <c r="F6" s="72" t="s">
        <v>135</v>
      </c>
      <c r="G6" s="71"/>
      <c r="H6" s="72" t="s">
        <v>138</v>
      </c>
      <c r="I6" s="79" t="s">
        <v>153</v>
      </c>
    </row>
    <row r="7" spans="2:12" x14ac:dyDescent="0.2">
      <c r="B7" s="83" t="str">
        <f>+'Riesgo Inherente'!D12</f>
        <v>Información de OP y Ventas</v>
      </c>
      <c r="C7" s="86" t="str">
        <f>+VLOOKUP(B7,'Riesgo Inherente'!D:H,5,)</f>
        <v>Fuga / Pérdida de información</v>
      </c>
      <c r="D7" s="77" t="str">
        <f>+VLOOKUP(B7,'Riesgo Inherente'!D12:N32,11,)</f>
        <v>M</v>
      </c>
      <c r="E7" s="77"/>
      <c r="F7" s="77"/>
      <c r="G7" s="77"/>
      <c r="H7" s="70"/>
      <c r="I7" s="81"/>
    </row>
    <row r="8" spans="2:12" ht="27" customHeight="1" x14ac:dyDescent="0.2">
      <c r="B8" s="87" t="str">
        <f>+'Riesgo Inherente'!D13</f>
        <v>Firewall</v>
      </c>
      <c r="C8" s="88" t="str">
        <f>+VLOOKUP(B8,'Riesgo Inherente'!D:H,5,)</f>
        <v>Reducción en el desempeño/eficiencia operativos.</v>
      </c>
      <c r="D8" s="71" t="str">
        <f>+VLOOKUP(B8,'Riesgo Inherente'!D13:N32,11,)</f>
        <v>A</v>
      </c>
      <c r="E8" s="72" t="s">
        <v>135</v>
      </c>
      <c r="F8" s="71"/>
      <c r="G8" s="71"/>
      <c r="H8" s="72" t="s">
        <v>136</v>
      </c>
      <c r="I8" s="79" t="s">
        <v>150</v>
      </c>
    </row>
    <row r="9" spans="2:12" x14ac:dyDescent="0.2">
      <c r="B9" s="87" t="str">
        <f>+'Riesgo Inherente'!D14</f>
        <v>Portal Web</v>
      </c>
      <c r="C9" s="88" t="str">
        <f>+VLOOKUP(B9,'Riesgo Inherente'!D:H,5,)</f>
        <v>Indisponibilidad del servicio</v>
      </c>
      <c r="D9" s="71" t="str">
        <f>+VLOOKUP(B9,'Riesgo Inherente'!D14:N32,11,)</f>
        <v>E</v>
      </c>
      <c r="E9" s="71"/>
      <c r="F9" s="72" t="s">
        <v>135</v>
      </c>
      <c r="G9" s="71"/>
      <c r="H9" s="72" t="s">
        <v>136</v>
      </c>
      <c r="I9" s="79" t="s">
        <v>139</v>
      </c>
    </row>
    <row r="10" spans="2:12" ht="38.25" x14ac:dyDescent="0.2">
      <c r="B10" s="87" t="str">
        <f>+'Riesgo Inherente'!D15</f>
        <v>Centro de cómputo</v>
      </c>
      <c r="C10" s="88" t="str">
        <f>+VLOOKUP(B10,'Riesgo Inherente'!D:H,5,)</f>
        <v>Interrupción de la actividad de negocio.</v>
      </c>
      <c r="D10" s="71" t="str">
        <f>+VLOOKUP(B10,'Riesgo Inherente'!D:N,11,)</f>
        <v>A</v>
      </c>
      <c r="E10" s="72" t="s">
        <v>135</v>
      </c>
      <c r="F10" s="71"/>
      <c r="G10" s="71"/>
      <c r="H10" s="72" t="s">
        <v>136</v>
      </c>
      <c r="I10" s="79" t="s">
        <v>154</v>
      </c>
    </row>
    <row r="11" spans="2:12" ht="25.5" x14ac:dyDescent="0.2">
      <c r="B11" s="87" t="str">
        <f>+'Riesgo Inherente'!D16</f>
        <v>Correo Electrónico</v>
      </c>
      <c r="C11" s="88" t="str">
        <f>+VLOOKUP(B11,'Riesgo Inherente'!D:H,5,)</f>
        <v>Pérdida directa de dinero (efectivo o crédito).</v>
      </c>
      <c r="D11" s="71" t="str">
        <f>+VLOOKUP(B11,'Riesgo Inherente'!D16:N32,11,)</f>
        <v>A</v>
      </c>
      <c r="E11" s="71"/>
      <c r="F11" s="72" t="s">
        <v>135</v>
      </c>
      <c r="G11" s="71"/>
      <c r="H11" s="72" t="s">
        <v>136</v>
      </c>
      <c r="I11" s="79" t="s">
        <v>155</v>
      </c>
    </row>
    <row r="12" spans="2:12" ht="25.5" x14ac:dyDescent="0.2">
      <c r="B12" s="87" t="str">
        <f>+'Riesgo Inherente'!D17</f>
        <v>Copias de Seguridad</v>
      </c>
      <c r="C12" s="88" t="str">
        <f>+VLOOKUP(B12,'Riesgo Inherente'!D:H,5,)</f>
        <v>Perdida de informacion</v>
      </c>
      <c r="D12" s="71" t="str">
        <f>+VLOOKUP(B12,'Riesgo Inherente'!D17:N32,11,)</f>
        <v>E</v>
      </c>
      <c r="E12" s="72" t="s">
        <v>135</v>
      </c>
      <c r="F12" s="71"/>
      <c r="G12" s="71"/>
      <c r="H12" s="72" t="s">
        <v>136</v>
      </c>
      <c r="I12" s="79" t="s">
        <v>156</v>
      </c>
    </row>
    <row r="13" spans="2:12" ht="25.5" x14ac:dyDescent="0.2">
      <c r="B13" s="87" t="str">
        <f>+'Riesgo Inherente'!D18</f>
        <v>Licencias</v>
      </c>
      <c r="C13" s="88" t="str">
        <f>+VLOOKUP(B13,'Riesgo Inherente'!D:H,5,)</f>
        <v>Fuga / Pérdida de información</v>
      </c>
      <c r="D13" s="71" t="str">
        <f>+VLOOKUP(B13,'Riesgo Inherente'!D18:N32,11,)</f>
        <v>A</v>
      </c>
      <c r="E13" s="72" t="s">
        <v>135</v>
      </c>
      <c r="F13" s="71"/>
      <c r="G13" s="71"/>
      <c r="H13" s="72" t="s">
        <v>136</v>
      </c>
      <c r="I13" s="79" t="s">
        <v>157</v>
      </c>
    </row>
    <row r="14" spans="2:12" ht="38.25" x14ac:dyDescent="0.2">
      <c r="B14" s="87" t="str">
        <f>+'Riesgo Inherente'!D19</f>
        <v>Personal con Alto Valor</v>
      </c>
      <c r="C14" s="88" t="str">
        <f>+VLOOKUP(B14,'Riesgo Inherente'!D:H,5,)</f>
        <v>Falta de personal</v>
      </c>
      <c r="D14" s="71" t="str">
        <f>+VLOOKUP(B14,'Riesgo Inherente'!D19:N32,11,)</f>
        <v>E</v>
      </c>
      <c r="E14" s="72" t="s">
        <v>135</v>
      </c>
      <c r="F14" s="71"/>
      <c r="G14" s="71"/>
      <c r="H14" s="72" t="s">
        <v>136</v>
      </c>
      <c r="I14" s="79" t="s">
        <v>158</v>
      </c>
    </row>
    <row r="15" spans="2:12" x14ac:dyDescent="0.2">
      <c r="B15" s="87" t="str">
        <f>+'Riesgo Inherente'!D20</f>
        <v>Servidores Alpha, Delta, Omega, Epsilon</v>
      </c>
      <c r="C15" s="88" t="str">
        <f>+VLOOKUP(B15,'Riesgo Inherente'!D:H,5,)</f>
        <v>Acceso a información confidencial</v>
      </c>
      <c r="D15" s="71" t="str">
        <f>+VLOOKUP(B15,'Riesgo Inherente'!D20:N32,11,)</f>
        <v>E</v>
      </c>
      <c r="E15" s="72" t="s">
        <v>135</v>
      </c>
      <c r="F15" s="71"/>
      <c r="G15" s="71"/>
      <c r="H15" s="72" t="s">
        <v>136</v>
      </c>
      <c r="I15" s="79" t="s">
        <v>151</v>
      </c>
    </row>
    <row r="16" spans="2:12" ht="26.45" customHeight="1" x14ac:dyDescent="0.2">
      <c r="B16" s="87" t="str">
        <f>+'Riesgo Inherente'!D21</f>
        <v>Terminales Think Client</v>
      </c>
      <c r="C16" s="88" t="str">
        <f>+VLOOKUP(B16,'Riesgo Inherente'!D:H,5,)</f>
        <v>Fuga / Pérdida de información</v>
      </c>
      <c r="D16" s="71" t="str">
        <f>+VLOOKUP(B16,'Riesgo Inherente'!D21:N32,11,)</f>
        <v>E</v>
      </c>
      <c r="E16" s="72" t="s">
        <v>135</v>
      </c>
      <c r="F16" s="71"/>
      <c r="G16" s="71"/>
      <c r="H16" s="72" t="s">
        <v>136</v>
      </c>
      <c r="I16" s="79" t="s">
        <v>150</v>
      </c>
    </row>
    <row r="17" spans="2:9" x14ac:dyDescent="0.2">
      <c r="B17" s="83" t="str">
        <f>+'Riesgo Inherente'!D22</f>
        <v>Impresoras</v>
      </c>
      <c r="C17" s="86" t="str">
        <f>+VLOOKUP(B17,'Riesgo Inherente'!D:H,5,)</f>
        <v>Fuga / Pérdida de información</v>
      </c>
      <c r="D17" s="77" t="str">
        <f>+VLOOKUP(B17,'Riesgo Inherente'!D22:N32,11,)</f>
        <v>B</v>
      </c>
      <c r="E17" s="77"/>
      <c r="F17" s="77"/>
      <c r="G17" s="77"/>
      <c r="H17" s="70"/>
      <c r="I17" s="81"/>
    </row>
    <row r="18" spans="2:9" ht="26.45" customHeight="1" x14ac:dyDescent="0.2">
      <c r="B18" s="87" t="str">
        <f>+'Riesgo Inherente'!D23</f>
        <v>Switches</v>
      </c>
      <c r="C18" s="88" t="str">
        <f>+VLOOKUP(B18,'Riesgo Inherente'!D:H,5,)</f>
        <v>Fuga / Pérdida de información</v>
      </c>
      <c r="D18" s="71" t="str">
        <f>+VLOOKUP(B18,'Riesgo Inherente'!D23:N32,11,)</f>
        <v>A</v>
      </c>
      <c r="E18" s="72" t="s">
        <v>135</v>
      </c>
      <c r="F18" s="71"/>
      <c r="G18" s="71"/>
      <c r="H18" s="72" t="s">
        <v>136</v>
      </c>
      <c r="I18" s="79" t="s">
        <v>150</v>
      </c>
    </row>
    <row r="19" spans="2:9" ht="26.45" customHeight="1" x14ac:dyDescent="0.2">
      <c r="B19" s="88" t="str">
        <f>+'Riesgo Inherente'!D24</f>
        <v>Hubs</v>
      </c>
      <c r="C19" s="88" t="str">
        <f>+VLOOKUP(B19,'Riesgo Inherente'!D:H,5,)</f>
        <v>Fuga / Pérdida de información</v>
      </c>
      <c r="D19" s="71" t="str">
        <f>+VLOOKUP(B19,'Riesgo Inherente'!D24:N32,11,)</f>
        <v>A</v>
      </c>
      <c r="E19" s="72" t="s">
        <v>135</v>
      </c>
      <c r="F19" s="71"/>
      <c r="G19" s="71"/>
      <c r="H19" s="72" t="s">
        <v>136</v>
      </c>
      <c r="I19" s="79" t="s">
        <v>150</v>
      </c>
    </row>
    <row r="20" spans="2:9" x14ac:dyDescent="0.2">
      <c r="B20" s="85" t="str">
        <f>+'Riesgo Inherente'!D25</f>
        <v>UPS</v>
      </c>
      <c r="C20" s="86" t="str">
        <f>+VLOOKUP(B20,'Riesgo Inherente'!D:H,5,)</f>
        <v>Daño en equipos</v>
      </c>
      <c r="D20" s="77" t="str">
        <f>+VLOOKUP(B20,'Riesgo Inherente'!D25:N32,11,)</f>
        <v>B</v>
      </c>
      <c r="E20" s="77"/>
      <c r="F20" s="77"/>
      <c r="G20" s="77"/>
      <c r="H20" s="70"/>
      <c r="I20" s="81"/>
    </row>
    <row r="21" spans="2:9" x14ac:dyDescent="0.2">
      <c r="B21" s="85" t="str">
        <f>+'Riesgo Inherente'!D26</f>
        <v>Access point</v>
      </c>
      <c r="C21" s="86" t="str">
        <f>+VLOOKUP(B21,'Riesgo Inherente'!D:H,5,)</f>
        <v>Sin acceso a la red de datos</v>
      </c>
      <c r="D21" s="77" t="str">
        <f>+VLOOKUP(B21,'Riesgo Inherente'!D26:N32,11,)</f>
        <v>B</v>
      </c>
      <c r="E21" s="77"/>
      <c r="F21" s="77"/>
      <c r="G21" s="77"/>
      <c r="H21" s="70"/>
      <c r="I21" s="81"/>
    </row>
    <row r="22" spans="2:9" x14ac:dyDescent="0.2">
      <c r="B22" s="85" t="str">
        <f>+'Riesgo Inherente'!D27</f>
        <v>Bases de Datos</v>
      </c>
      <c r="C22" s="86" t="str">
        <f>+VLOOKUP(B22,'Riesgo Inherente'!D:H,5,)</f>
        <v>Fuga / Pérdida de información</v>
      </c>
      <c r="D22" s="77" t="str">
        <f>+VLOOKUP(B22,'Riesgo Inherente'!D27:N32,11,)</f>
        <v>M</v>
      </c>
      <c r="E22" s="77"/>
      <c r="F22" s="77"/>
      <c r="G22" s="77"/>
      <c r="H22" s="70"/>
      <c r="I22" s="81"/>
    </row>
    <row r="23" spans="2:9" x14ac:dyDescent="0.2">
      <c r="B23" s="85" t="str">
        <f>+'Riesgo Inherente'!D28</f>
        <v>Maquinaria de la planta</v>
      </c>
      <c r="C23" s="86" t="str">
        <f>+VLOOKUP(B23,'Riesgo Inherente'!D:H,5,)</f>
        <v>Afectacion en la produccion de manufacturas</v>
      </c>
      <c r="D23" s="77" t="str">
        <f>+VLOOKUP(B23,'Riesgo Inherente'!D28:N32,11,)</f>
        <v>M</v>
      </c>
      <c r="E23" s="77"/>
      <c r="F23" s="77"/>
      <c r="G23" s="77"/>
      <c r="H23" s="70"/>
      <c r="I23" s="81"/>
    </row>
    <row r="24" spans="2:9" x14ac:dyDescent="0.2">
      <c r="B24" s="85" t="str">
        <f>+'Riesgo Inherente'!D29</f>
        <v>Contratos - Documentos</v>
      </c>
      <c r="C24" s="86" t="str">
        <f>+VLOOKUP(B24,'Riesgo Inherente'!D:H,5,)</f>
        <v>Fuga / Pérdida de información</v>
      </c>
      <c r="D24" s="77" t="str">
        <f>+VLOOKUP(B24,'Riesgo Inherente'!D29:N32,11,)</f>
        <v>M</v>
      </c>
      <c r="E24" s="77"/>
      <c r="F24" s="77"/>
      <c r="G24" s="77"/>
      <c r="H24" s="70"/>
      <c r="I24" s="81"/>
    </row>
    <row r="25" spans="2:9" x14ac:dyDescent="0.2">
      <c r="B25" s="85" t="str">
        <f>+'Riesgo Inherente'!D30</f>
        <v>Redes físicas de Datos</v>
      </c>
      <c r="C25" s="86" t="str">
        <f>+VLOOKUP(B25,'Riesgo Inherente'!D:H,5,)</f>
        <v>Sin acceso a la red de datos</v>
      </c>
      <c r="D25" s="77" t="str">
        <f>+VLOOKUP(B25,'Riesgo Inherente'!D30:N32,11,)</f>
        <v>B</v>
      </c>
      <c r="E25" s="77"/>
      <c r="F25" s="77"/>
      <c r="G25" s="77"/>
      <c r="H25" s="70"/>
      <c r="I25" s="81"/>
    </row>
    <row r="26" spans="2:9" x14ac:dyDescent="0.2">
      <c r="B26" s="88" t="str">
        <f>+'Riesgo Inherente'!D31</f>
        <v>Servidor Gamma - Correo</v>
      </c>
      <c r="C26" s="88" t="str">
        <f>+VLOOKUP(B26,'Riesgo Inherente'!D:H,5,)</f>
        <v>Fuga / Pérdida de información</v>
      </c>
      <c r="D26" s="71" t="str">
        <f>+VLOOKUP(B26,'Riesgo Inherente'!D31:N33,11,)</f>
        <v>A</v>
      </c>
      <c r="E26" s="72" t="s">
        <v>135</v>
      </c>
      <c r="F26" s="71"/>
      <c r="G26" s="71"/>
      <c r="H26" s="72" t="s">
        <v>136</v>
      </c>
      <c r="I26" s="79" t="s">
        <v>151</v>
      </c>
    </row>
    <row r="27" spans="2:9" x14ac:dyDescent="0.2">
      <c r="B27" s="89" t="str">
        <f>+'Riesgo Inherente'!D32</f>
        <v>Servidor Betha - BdD</v>
      </c>
      <c r="C27" s="90" t="str">
        <f>+VLOOKUP(B27,'Riesgo Inherente'!D:H,5,)</f>
        <v>Fuga / Pérdida de información</v>
      </c>
      <c r="D27" s="73" t="str">
        <f>+VLOOKUP(B27,'Riesgo Inherente'!D32:N34,11,)</f>
        <v>M</v>
      </c>
      <c r="E27" s="73"/>
      <c r="F27" s="73"/>
      <c r="G27" s="73"/>
      <c r="H27" s="74"/>
      <c r="I27" s="82"/>
    </row>
  </sheetData>
  <mergeCells count="4">
    <mergeCell ref="B2:B3"/>
    <mergeCell ref="C2:C3"/>
    <mergeCell ref="D2:D3"/>
    <mergeCell ref="E2:I2"/>
  </mergeCells>
  <conditionalFormatting sqref="D1 D4:D1048576">
    <cfRule type="containsText" dxfId="1" priority="1" operator="containsText" text="A">
      <formula>NOT(ISERROR(SEARCH("A",D1)))</formula>
    </cfRule>
    <cfRule type="containsText" dxfId="0" priority="2" operator="containsText" text="E">
      <formula>NOT(ISERROR(SEARCH("E",D1)))</formula>
    </cfRule>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50D70F-F76B-40EC-9500-846ED6F27DBF}">
  <dimension ref="A1:H9"/>
  <sheetViews>
    <sheetView workbookViewId="0">
      <selection activeCell="A27" sqref="A27"/>
    </sheetView>
  </sheetViews>
  <sheetFormatPr baseColWidth="10" defaultRowHeight="12.75" x14ac:dyDescent="0.2"/>
  <cols>
    <col min="1" max="1" width="28.42578125" bestFit="1" customWidth="1"/>
    <col min="6" max="6" width="75.5703125" customWidth="1"/>
    <col min="8" max="8" width="38.140625" customWidth="1"/>
  </cols>
  <sheetData>
    <row r="1" spans="1:8" x14ac:dyDescent="0.2">
      <c r="A1" s="100" t="s">
        <v>46</v>
      </c>
      <c r="B1" s="101"/>
      <c r="C1" s="102"/>
      <c r="D1" s="103"/>
      <c r="E1" s="143" t="s">
        <v>7</v>
      </c>
      <c r="F1" s="143"/>
      <c r="G1" s="143" t="s">
        <v>9</v>
      </c>
      <c r="H1" s="143"/>
    </row>
    <row r="2" spans="1:8" ht="45" x14ac:dyDescent="0.2">
      <c r="A2" s="104" t="s">
        <v>43</v>
      </c>
      <c r="B2" s="105"/>
      <c r="C2" s="106"/>
      <c r="D2" s="107"/>
      <c r="E2" s="97" t="s">
        <v>16</v>
      </c>
      <c r="F2" s="108" t="s">
        <v>47</v>
      </c>
      <c r="G2" s="97" t="s">
        <v>16</v>
      </c>
      <c r="H2" s="52" t="s">
        <v>48</v>
      </c>
    </row>
    <row r="3" spans="1:8" ht="33.75" x14ac:dyDescent="0.2">
      <c r="A3" s="109" t="s">
        <v>18</v>
      </c>
      <c r="B3" s="105"/>
      <c r="C3" s="106"/>
      <c r="D3" s="107"/>
      <c r="E3" s="97" t="s">
        <v>49</v>
      </c>
      <c r="F3" s="110" t="s">
        <v>50</v>
      </c>
      <c r="G3" s="97" t="s">
        <v>49</v>
      </c>
      <c r="H3" s="52" t="s">
        <v>51</v>
      </c>
    </row>
    <row r="4" spans="1:8" ht="22.5" x14ac:dyDescent="0.2">
      <c r="A4" s="104" t="s">
        <v>26</v>
      </c>
      <c r="B4" s="105"/>
      <c r="C4" s="106"/>
      <c r="D4" s="107"/>
      <c r="E4" s="97" t="s">
        <v>17</v>
      </c>
      <c r="F4" s="108" t="s">
        <v>52</v>
      </c>
      <c r="G4" s="97" t="s">
        <v>17</v>
      </c>
      <c r="H4" s="52" t="s">
        <v>53</v>
      </c>
    </row>
    <row r="5" spans="1:8" x14ac:dyDescent="0.2">
      <c r="A5" s="104" t="s">
        <v>14</v>
      </c>
      <c r="B5" s="105"/>
      <c r="C5" s="106"/>
      <c r="D5" s="107"/>
      <c r="E5" s="97" t="s">
        <v>54</v>
      </c>
      <c r="F5" s="108" t="s">
        <v>55</v>
      </c>
      <c r="G5" s="97" t="s">
        <v>54</v>
      </c>
      <c r="H5" s="52" t="s">
        <v>56</v>
      </c>
    </row>
    <row r="6" spans="1:8" ht="33.75" x14ac:dyDescent="0.2">
      <c r="A6" s="104" t="s">
        <v>31</v>
      </c>
      <c r="B6" s="105"/>
      <c r="C6" s="106"/>
      <c r="D6" s="107"/>
      <c r="E6" s="97" t="s">
        <v>57</v>
      </c>
      <c r="F6" s="108" t="s">
        <v>58</v>
      </c>
      <c r="G6" s="97" t="s">
        <v>57</v>
      </c>
      <c r="H6" s="52" t="s">
        <v>59</v>
      </c>
    </row>
    <row r="7" spans="1:8" x14ac:dyDescent="0.2">
      <c r="A7" t="s">
        <v>21</v>
      </c>
      <c r="B7" s="7"/>
      <c r="C7" s="9"/>
      <c r="D7" s="6"/>
      <c r="E7" s="98"/>
      <c r="F7" s="2"/>
      <c r="G7" s="92"/>
      <c r="H7" s="4"/>
    </row>
    <row r="8" spans="1:8" x14ac:dyDescent="0.2">
      <c r="A8" s="2" t="s">
        <v>60</v>
      </c>
      <c r="B8" s="7"/>
      <c r="C8" s="11"/>
      <c r="D8" s="6"/>
      <c r="E8" s="98"/>
      <c r="F8" s="2"/>
      <c r="G8" s="92"/>
      <c r="H8" s="4"/>
    </row>
    <row r="9" spans="1:8" x14ac:dyDescent="0.2">
      <c r="A9" s="2"/>
      <c r="B9" s="7"/>
      <c r="C9" s="10"/>
      <c r="D9" s="6"/>
      <c r="E9" s="98"/>
      <c r="F9" s="2"/>
      <c r="G9" s="92"/>
      <c r="H9" s="4"/>
    </row>
  </sheetData>
  <mergeCells count="2">
    <mergeCell ref="E1:F1"/>
    <mergeCell ref="G1:H1"/>
  </mergeCells>
  <dataValidations count="1">
    <dataValidation allowBlank="1" showInputMessage="1" showErrorMessage="1" promptTitle="Amenazas" prompt="Describa situaciones inesperadas (lo que puede salir mal) que se pueden presentar en el proceso que realiza" sqref="B7:B8 C2:C7 B2:B5" xr:uid="{4AF7C828-1592-493E-BB31-6F8316C3C258}"/>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Riesgo Inherente</vt:lpstr>
      <vt:lpstr>Mapa de Calor</vt:lpstr>
      <vt:lpstr>Controles</vt:lpstr>
      <vt:lpstr>Categoria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RC</dc:creator>
  <cp:keywords/>
  <dc:description/>
  <cp:lastModifiedBy>Oscar Camargo</cp:lastModifiedBy>
  <cp:revision/>
  <dcterms:created xsi:type="dcterms:W3CDTF">2008-09-09T16:26:39Z</dcterms:created>
  <dcterms:modified xsi:type="dcterms:W3CDTF">2025-01-29T13:08:07Z</dcterms:modified>
  <cp:category/>
  <cp:contentStatus/>
</cp:coreProperties>
</file>