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iled TCs - Create Form" sheetId="1" r:id="rId4"/>
    <sheet state="visible" name="Failed TCs - Manage Form" sheetId="2" r:id="rId5"/>
    <sheet state="visible" name="Failed TCs - Section Mgmt" sheetId="3" r:id="rId6"/>
    <sheet state="visible" name="Failed TCs - Share Form" sheetId="4" r:id="rId7"/>
    <sheet state="visible" name="Failed TCs - Employee Group" sheetId="5" r:id="rId8"/>
    <sheet state="visible" name="Failed TCs - Manage Respondent" sheetId="6" r:id="rId9"/>
    <sheet state="visible" name="Failed TCs - Create Questions" sheetId="7" r:id="rId10"/>
    <sheet state="visible" name="Failed TCs - Response View" sheetId="8" r:id="rId11"/>
  </sheets>
  <definedNames/>
  <calcPr/>
</workbook>
</file>

<file path=xl/sharedStrings.xml><?xml version="1.0" encoding="utf-8"?>
<sst xmlns="http://schemas.openxmlformats.org/spreadsheetml/2006/main" count="529" uniqueCount="86">
  <si>
    <t>Developer Status</t>
  </si>
  <si>
    <t>Developer Remark</t>
  </si>
  <si>
    <t>Done</t>
  </si>
  <si>
    <t>Requirement sheet changed</t>
  </si>
  <si>
    <t>In Requirement sheet hours should not be grater than 11</t>
  </si>
  <si>
    <t>Requiment sheet problem</t>
  </si>
  <si>
    <t xml:space="preserve">Bydefault select In percent radio button.
</t>
  </si>
  <si>
    <t xml:space="preserve"> Requirement Sheet changed</t>
  </si>
  <si>
    <t xml:space="preserve">
</t>
  </si>
  <si>
    <t>Discuss</t>
  </si>
  <si>
    <t>Resolved</t>
  </si>
  <si>
    <t>Pass</t>
  </si>
  <si>
    <t xml:space="preserve">Discuss
</t>
  </si>
  <si>
    <t>pass</t>
  </si>
  <si>
    <t>Need Discussion.</t>
  </si>
  <si>
    <t>Reopen</t>
  </si>
  <si>
    <t>Pass/Fail</t>
  </si>
  <si>
    <t>Executed By</t>
  </si>
  <si>
    <t>Remark</t>
  </si>
  <si>
    <t>Retesting Status</t>
  </si>
  <si>
    <t>Retesting Remark</t>
  </si>
  <si>
    <t>Closed</t>
  </si>
  <si>
    <t>jaikishan (3 Dec)</t>
  </si>
  <si>
    <t>Change in requirement sheet</t>
  </si>
  <si>
    <t xml:space="preserve">Closed
</t>
  </si>
  <si>
    <t>Caption is correct</t>
  </si>
  <si>
    <t>Default value for esic and epf  is NO</t>
  </si>
  <si>
    <t xml:space="preserve">Reopen </t>
  </si>
  <si>
    <t>Some problem in EPF &amp; ESIC</t>
  </si>
  <si>
    <t xml:space="preserve">Pass
</t>
  </si>
  <si>
    <t>Not a bug</t>
  </si>
  <si>
    <t>To Be Discussed</t>
  </si>
  <si>
    <t xml:space="preserve">First Employee and somewher all data not showing
</t>
  </si>
  <si>
    <t>Please clarify the point(Not Understood)</t>
  </si>
  <si>
    <t>On Hold</t>
  </si>
  <si>
    <t>To be done later as discussed</t>
  </si>
  <si>
    <t>Edit permission cannot delete form, only owner will delete a form</t>
  </si>
  <si>
    <t>Table data is dynamic which changes the width of grid</t>
  </si>
  <si>
    <t>Only one owner at a time</t>
  </si>
  <si>
    <t>Close</t>
  </si>
  <si>
    <t>Response "s" is added in new requirement sheet.</t>
  </si>
  <si>
    <t xml:space="preserve">pass
</t>
  </si>
  <si>
    <t>Multiple owner cannot created</t>
  </si>
  <si>
    <t xml:space="preserve">Close
</t>
  </si>
  <si>
    <t>Take current date with time</t>
  </si>
  <si>
    <t>Upto date take previous date, why?</t>
  </si>
  <si>
    <t>Message "Available from should be less than available upto"</t>
  </si>
  <si>
    <t>Message "Available from should be less than available upto".</t>
  </si>
  <si>
    <t>Fail</t>
  </si>
  <si>
    <t>Other user which have no form also open form from url</t>
  </si>
  <si>
    <t>Message "Respondents has been updated successfully" is showing</t>
  </si>
  <si>
    <t>If user modify form date and respondent already added to that date.</t>
  </si>
  <si>
    <t>Editer cannot change status, only owner change status.</t>
  </si>
  <si>
    <t xml:space="preserve">Manage respondent upto date accept date greater than Form upto date.
</t>
  </si>
  <si>
    <t>Gender fucntionality is not working :Showing male employee in female and Female employee in Others</t>
  </si>
  <si>
    <t>EPF functionality not working</t>
  </si>
  <si>
    <t xml:space="preserve">Pending
</t>
  </si>
  <si>
    <t>Organisation info pop up not opened</t>
  </si>
  <si>
    <t>table structure changes so much when select all organisation</t>
  </si>
  <si>
    <t xml:space="preserve">Not resolved
</t>
  </si>
  <si>
    <t>"Employee group has been updated successfully" is showing.   [Not a big issue]</t>
  </si>
  <si>
    <t>"Employee group name" show instead of static employee group</t>
  </si>
  <si>
    <t>Message "Employee group has been updated successfully" showing</t>
  </si>
  <si>
    <t>Retesting(Pass/Fail)</t>
  </si>
  <si>
    <t>Executed By/Date</t>
  </si>
  <si>
    <t>On hold</t>
  </si>
  <si>
    <t>Jaikishan (4-Dec)</t>
  </si>
  <si>
    <t xml:space="preserve">Resolved
</t>
  </si>
  <si>
    <t xml:space="preserve">Fail
</t>
  </si>
  <si>
    <t>Also accept number which are not mentioning in error message.</t>
  </si>
  <si>
    <t>Choice type hide from dropdown</t>
  </si>
  <si>
    <t xml:space="preserve">Show in preview form not in question view
</t>
  </si>
  <si>
    <t>Pending</t>
  </si>
  <si>
    <t>Question type:checkbox,Radio,Dropdown,Autocomplete</t>
  </si>
  <si>
    <t>Showing exception(attachement)</t>
  </si>
  <si>
    <t>Not mandatory in sheet</t>
  </si>
  <si>
    <t>Showing sql error.</t>
  </si>
  <si>
    <t xml:space="preserve">
??</t>
  </si>
  <si>
    <t>View result button not working</t>
  </si>
  <si>
    <t>Not clickable</t>
  </si>
  <si>
    <t xml:space="preserve">??
</t>
  </si>
  <si>
    <t>Only 4 question type showing</t>
  </si>
  <si>
    <t>After review by Naveen Sir</t>
  </si>
  <si>
    <t xml:space="preserve">In erp database,Point should accept number </t>
  </si>
  <si>
    <t>??</t>
  </si>
  <si>
    <t>Now  message "Please select one section"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</si>
</sst>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yy"/>
  </numFmts>
  <fonts count="3">
    <font>
      <sz val="10.0"/>
      <color rgb="FF000000"/>
      <name val="Arial"/>
    </font>
    <font>
      <b/>
      <color theme="1"/>
      <name val="Arial"/>
    </font>
    <font>
      <color theme="1"/>
      <name val="Arial"/>
    </font>
  </fonts>
  <fills count="8">
    <fill>
      <patternFill patternType="none"/>
    </fill>
    <fill>
      <patternFill patternType="lightGray"/>
    </fill>
    <fill>
      <patternFill patternType="solid">
        <fgColor rgb="FFB7E1CD"/>
        <bgColor rgb="FFB7E1CD"/>
      </patternFill>
    </fill>
    <fill>
      <patternFill patternType="solid">
        <fgColor rgb="FFB6D7A8"/>
        <bgColor rgb="FFB6D7A8"/>
      </patternFill>
    </fill>
    <fill>
      <patternFill patternType="solid">
        <fgColor rgb="FFFFFF00"/>
        <bgColor rgb="FFFFFF00"/>
      </patternFill>
    </fill>
    <fill>
      <patternFill patternType="solid">
        <fgColor rgb="FFEA9999"/>
        <bgColor rgb="FFEA9999"/>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shrinkToFit="0" vertical="center" wrapText="1"/>
    </xf>
    <xf borderId="0" fillId="2" fontId="1" numFmtId="0" xfId="0" applyAlignment="1" applyFont="1">
      <alignment shrinkToFit="0" wrapText="1"/>
    </xf>
    <xf borderId="0" fillId="3" fontId="1" numFmtId="0" xfId="0" applyAlignment="1" applyFill="1" applyFont="1">
      <alignment shrinkToFit="0" wrapText="1"/>
    </xf>
    <xf borderId="0" fillId="3" fontId="1" numFmtId="0" xfId="0" applyFont="1"/>
    <xf borderId="0" fillId="4" fontId="1" numFmtId="0" xfId="0" applyAlignment="1" applyFill="1" applyFont="1">
      <alignment readingOrder="0" shrinkToFit="0" wrapText="1"/>
    </xf>
    <xf borderId="0" fillId="0" fontId="1" numFmtId="0" xfId="0" applyAlignment="1" applyFont="1">
      <alignment shrinkToFit="0" wrapText="1"/>
    </xf>
    <xf borderId="0" fillId="0" fontId="2" numFmtId="0" xfId="0" applyAlignment="1" applyFont="1">
      <alignment shrinkToFit="0" wrapText="1"/>
    </xf>
    <xf borderId="0" fillId="0" fontId="2" numFmtId="164" xfId="0" applyAlignment="1" applyFont="1" applyNumberFormat="1">
      <alignment shrinkToFit="0" wrapText="1"/>
    </xf>
    <xf borderId="0" fillId="0" fontId="2" numFmtId="0" xfId="0" applyAlignment="1" applyFont="1">
      <alignment readingOrder="0" shrinkToFit="0" wrapText="1"/>
    </xf>
    <xf borderId="0" fillId="5" fontId="2" numFmtId="0" xfId="0" applyAlignment="1" applyFill="1" applyFont="1">
      <alignment shrinkToFit="0" wrapText="1"/>
    </xf>
    <xf borderId="0" fillId="5" fontId="2" numFmtId="164" xfId="0" applyAlignment="1" applyFont="1" applyNumberFormat="1">
      <alignment shrinkToFit="0" wrapText="1"/>
    </xf>
    <xf borderId="0" fillId="5" fontId="2" numFmtId="0" xfId="0" applyAlignment="1" applyFont="1">
      <alignment readingOrder="0" shrinkToFit="0" wrapText="1"/>
    </xf>
    <xf borderId="0" fillId="2" fontId="1" numFmtId="0" xfId="0" applyAlignment="1" applyFont="1">
      <alignment readingOrder="0" shrinkToFit="0" wrapText="1"/>
    </xf>
    <xf borderId="0" fillId="6" fontId="1" numFmtId="0" xfId="0" applyAlignment="1" applyFill="1" applyFont="1">
      <alignment readingOrder="0" shrinkToFit="0" wrapText="1"/>
    </xf>
    <xf borderId="0" fillId="0" fontId="2" numFmtId="0" xfId="0" applyAlignment="1" applyFont="1">
      <alignment readingOrder="0"/>
    </xf>
    <xf borderId="0" fillId="7" fontId="2" numFmtId="0" xfId="0" applyAlignment="1" applyFill="1" applyFont="1">
      <alignment shrinkToFit="0" wrapText="1"/>
    </xf>
    <xf borderId="0" fillId="7" fontId="2" numFmtId="164" xfId="0" applyAlignment="1" applyFont="1" applyNumberFormat="1">
      <alignment shrinkToFit="0" wrapText="1"/>
    </xf>
    <xf borderId="0" fillId="7" fontId="2" numFmtId="0" xfId="0" applyAlignment="1" applyFont="1">
      <alignment readingOrder="0" shrinkToFit="0" wrapText="1"/>
    </xf>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2.14"/>
    <col customWidth="1" min="9" max="9" width="13.29"/>
    <col customWidth="1" min="10" max="10" width="24.86"/>
    <col customWidth="1" min="11" max="11" width="27.29"/>
    <col customWidth="1" min="12" max="12" width="23.0"/>
    <col customWidth="1" min="13" max="13" width="27.57"/>
  </cols>
  <sheetData>
    <row r="1">
      <c r="A1" s="1" t="str">
        <f>IFERROR(__xludf.DUMMYFUNCTION("Query(IMPORTRANGE(""https://docs.google.com/spreadsheets/d/1jEbAG0bEllXTKAGJlqI8FhpDdA5pI2ez4m_dRKlp78w/edit#gid=355221134"", ""TC - Create Form!A:S""), ""select * where Col16= 'Fail' OR Col16= '?'"")"),"Test Case Id")</f>
        <v>Test Case Id</v>
      </c>
      <c r="B1" s="2" t="str">
        <f>IFERROR(__xludf.DUMMYFUNCTION("""COMPUTED_VALUE"""),"Test Plan Id")</f>
        <v>Test Plan Id</v>
      </c>
      <c r="C1" s="2" t="str">
        <f>IFERROR(__xludf.DUMMYFUNCTION("""COMPUTED_VALUE"""),"TC #")</f>
        <v>TC #</v>
      </c>
      <c r="D1" s="2" t="str">
        <f>IFERROR(__xludf.DUMMYFUNCTION("""COMPUTED_VALUE"""),"Platform")</f>
        <v>Platform</v>
      </c>
      <c r="E1" s="2" t="str">
        <f>IFERROR(__xludf.DUMMYFUNCTION("""COMPUTED_VALUE"""),"Sub Module Features")</f>
        <v>Sub Module Features</v>
      </c>
      <c r="F1" s="2" t="str">
        <f>IFERROR(__xludf.DUMMYFUNCTION("""COMPUTED_VALUE"""),"Action")</f>
        <v>Action</v>
      </c>
      <c r="G1" s="2" t="str">
        <f>IFERROR(__xludf.DUMMYFUNCTION("""COMPUTED_VALUE"""),"Test Mode")</f>
        <v>Test Mode</v>
      </c>
      <c r="H1" s="2" t="str">
        <f>IFERROR(__xludf.DUMMYFUNCTION("""COMPUTED_VALUE"""),"Created By")</f>
        <v>Created By</v>
      </c>
      <c r="I1" s="2" t="str">
        <f>IFERROR(__xludf.DUMMYFUNCTION("""COMPUTED_VALUE"""),"Test Case Type")</f>
        <v>Test Case Type</v>
      </c>
      <c r="J1" s="2" t="str">
        <f>IFERROR(__xludf.DUMMYFUNCTION("""COMPUTED_VALUE"""),"Pre Condition")</f>
        <v>Pre Condition</v>
      </c>
      <c r="K1" s="2" t="str">
        <f>IFERROR(__xludf.DUMMYFUNCTION("""COMPUTED_VALUE"""),"Test Case Description")</f>
        <v>Test Case Description</v>
      </c>
      <c r="L1" s="2" t="str">
        <f>IFERROR(__xludf.DUMMYFUNCTION("""COMPUTED_VALUE"""),"Steps")</f>
        <v>Steps</v>
      </c>
      <c r="M1" s="2" t="str">
        <f>IFERROR(__xludf.DUMMYFUNCTION("""COMPUTED_VALUE"""),"Expected Result")</f>
        <v>Expected Result</v>
      </c>
      <c r="N1" s="2" t="str">
        <f>IFERROR(__xludf.DUMMYFUNCTION("""COMPUTED_VALUE"""),"Conditions / Formula / Query")</f>
        <v>Conditions / Formula / Query</v>
      </c>
      <c r="O1" s="3" t="str">
        <f>IFERROR(__xludf.DUMMYFUNCTION("""COMPUTED_VALUE"""),"Actual Result")</f>
        <v>Actual Result</v>
      </c>
      <c r="P1" s="3" t="str">
        <f>IFERROR(__xludf.DUMMYFUNCTION("""COMPUTED_VALUE"""),"Pass/Fail")</f>
        <v>Pass/Fail</v>
      </c>
      <c r="Q1" s="3" t="str">
        <f>IFERROR(__xludf.DUMMYFUNCTION("""COMPUTED_VALUE"""),"Executed By")</f>
        <v>Executed By</v>
      </c>
      <c r="R1" s="3" t="str">
        <f>IFERROR(__xludf.DUMMYFUNCTION("""COMPUTED_VALUE"""),"Date Execution")</f>
        <v>Date Execution</v>
      </c>
      <c r="S1" s="4" t="str">
        <f>IFERROR(__xludf.DUMMYFUNCTION("""COMPUTED_VALUE"""),"Remarks")</f>
        <v>Remarks</v>
      </c>
      <c r="T1" s="5" t="s">
        <v>0</v>
      </c>
      <c r="U1" s="5" t="s">
        <v>1</v>
      </c>
      <c r="V1" s="6"/>
      <c r="W1" s="6"/>
      <c r="X1" s="6"/>
      <c r="Y1" s="6"/>
      <c r="Z1" s="6"/>
    </row>
    <row r="2">
      <c r="A2" s="7" t="str">
        <f>IFERROR(__xludf.DUMMYFUNCTION("""COMPUTED_VALUE"""),"TCA_dKosh_General_SMF1_000")</f>
        <v>TCA_dKosh_General_SMF1_000</v>
      </c>
      <c r="B2" s="7" t="str">
        <f>IFERROR(__xludf.DUMMYFUNCTION("""COMPUTED_VALUE"""),"TP_dKosh_General_SMF1")</f>
        <v>TP_dKosh_General_SMF1</v>
      </c>
      <c r="C2" s="7">
        <f>IFERROR(__xludf.DUMMYFUNCTION("""COMPUTED_VALUE"""),0.0)</f>
        <v>0</v>
      </c>
      <c r="D2" s="7" t="str">
        <f>IFERROR(__xludf.DUMMYFUNCTION("""COMPUTED_VALUE"""),"Web, Mobile")</f>
        <v>Web, Mobile</v>
      </c>
      <c r="E2" s="7" t="str">
        <f>IFERROR(__xludf.DUMMYFUNCTION("""COMPUTED_VALUE"""),"General")</f>
        <v>General</v>
      </c>
      <c r="F2" s="7" t="str">
        <f>IFERROR(__xludf.DUMMYFUNCTION("""COMPUTED_VALUE"""),"Create Form")</f>
        <v>Create Form</v>
      </c>
      <c r="G2" s="7" t="str">
        <f>IFERROR(__xludf.DUMMYFUNCTION("""COMPUTED_VALUE"""),"A")</f>
        <v>A</v>
      </c>
      <c r="H2" s="7" t="str">
        <f>IFERROR(__xludf.DUMMYFUNCTION("""COMPUTED_VALUE"""),"Ankit")</f>
        <v>Ankit</v>
      </c>
      <c r="I2" s="7" t="str">
        <f>IFERROR(__xludf.DUMMYFUNCTION("""COMPUTED_VALUE"""),"Functional")</f>
        <v>Functional</v>
      </c>
      <c r="J2" s="7" t="str">
        <f>IFERROR(__xludf.DUMMYFUNCTION("""COMPUTED_VALUE"""),"")</f>
        <v/>
      </c>
      <c r="K2" s="7" t="str">
        <f>IFERROR(__xludf.DUMMYFUNCTION("""COMPUTED_VALUE"""),"Verify, create form is opening after click on + button")</f>
        <v>Verify, create form is opening after click on + button</v>
      </c>
      <c r="L2" s="7" t="str">
        <f>IFERROR(__xludf.DUMMYFUNCTION("""COMPUTED_VALUE"""),"1. Go to manage form list.
2. Click on plus icon.")</f>
        <v>1. Go to manage form list.
2. Click on plus icon.</v>
      </c>
      <c r="M2" s="7" t="str">
        <f>IFERROR(__xludf.DUMMYFUNCTION("""COMPUTED_VALUE"""),"Create form should be opened.")</f>
        <v>Create form should be opened.</v>
      </c>
      <c r="N2" s="7" t="str">
        <f>IFERROR(__xludf.DUMMYFUNCTION("""COMPUTED_VALUE"""),"")</f>
        <v/>
      </c>
      <c r="O2" s="7" t="str">
        <f>IFERROR(__xludf.DUMMYFUNCTION("""COMPUTED_VALUE"""),"Showing php notice , variable strWhr is not defined.
")</f>
        <v>Showing php notice , variable strWhr is not defined.
</v>
      </c>
      <c r="P2" s="7" t="str">
        <f>IFERROR(__xludf.DUMMYFUNCTION("""COMPUTED_VALUE"""),"Fail")</f>
        <v>Fail</v>
      </c>
      <c r="Q2" s="7" t="str">
        <f>IFERROR(__xludf.DUMMYFUNCTION("""COMPUTED_VALUE"""),"Jaikishan")</f>
        <v>Jaikishan</v>
      </c>
      <c r="R2" s="8">
        <f>IFERROR(__xludf.DUMMYFUNCTION("""COMPUTED_VALUE"""),43783.0)</f>
        <v>43783</v>
      </c>
      <c r="S2" s="7" t="str">
        <f>IFERROR(__xludf.DUMMYFUNCTION("""COMPUTED_VALUE"""),"")</f>
        <v/>
      </c>
      <c r="T2" s="9" t="s">
        <v>2</v>
      </c>
      <c r="U2" s="7"/>
      <c r="V2" s="7"/>
      <c r="W2" s="7"/>
      <c r="X2" s="7"/>
      <c r="Y2" s="7"/>
      <c r="Z2" s="7"/>
    </row>
    <row r="3">
      <c r="A3" s="7" t="str">
        <f>IFERROR(__xludf.DUMMYFUNCTION("""COMPUTED_VALUE"""),"TCM_dKosh_General_SMF1_001_005")</f>
        <v>TCM_dKosh_General_SMF1_001_005</v>
      </c>
      <c r="B3" s="7" t="str">
        <f>IFERROR(__xludf.DUMMYFUNCTION("""COMPUTED_VALUE"""),"TP_dKosh_General_SMF1_001")</f>
        <v>TP_dKosh_General_SMF1_001</v>
      </c>
      <c r="C3" s="7">
        <f>IFERROR(__xludf.DUMMYFUNCTION("""COMPUTED_VALUE"""),5.0)</f>
        <v>5</v>
      </c>
      <c r="D3" s="7" t="str">
        <f>IFERROR(__xludf.DUMMYFUNCTION("""COMPUTED_VALUE"""),"Web, Mobile")</f>
        <v>Web, Mobile</v>
      </c>
      <c r="E3" s="7" t="str">
        <f>IFERROR(__xludf.DUMMYFUNCTION("""COMPUTED_VALUE"""),"General")</f>
        <v>General</v>
      </c>
      <c r="F3" s="7" t="str">
        <f>IFERROR(__xludf.DUMMYFUNCTION("""COMPUTED_VALUE"""),"Create Form")</f>
        <v>Create Form</v>
      </c>
      <c r="G3" s="7" t="str">
        <f>IFERROR(__xludf.DUMMYFUNCTION("""COMPUTED_VALUE"""),"M")</f>
        <v>M</v>
      </c>
      <c r="H3" s="7" t="str">
        <f>IFERROR(__xludf.DUMMYFUNCTION("""COMPUTED_VALUE"""),"Jaikishan")</f>
        <v>Jaikishan</v>
      </c>
      <c r="I3" s="7" t="str">
        <f>IFERROR(__xludf.DUMMYFUNCTION("""COMPUTED_VALUE"""),"Validation")</f>
        <v>Validation</v>
      </c>
      <c r="J3" s="7" t="str">
        <f>IFERROR(__xludf.DUMMYFUNCTION("""COMPUTED_VALUE"""),"")</f>
        <v/>
      </c>
      <c r="K3" s="7" t="str">
        <f>IFERROR(__xludf.DUMMYFUNCTION("""COMPUTED_VALUE"""),"Verify, Name field data validation when create form with same name.")</f>
        <v>Verify, Name field data validation when create form with same name.</v>
      </c>
      <c r="L3" s="7" t="str">
        <f>IFERROR(__xludf.DUMMYFUNCTION("""COMPUTED_VALUE"""),"1. Go to manage form list.
2. Click on plus icon.
3. Enter same data in the Name field which have already created.")</f>
        <v>1. Go to manage form list.
2. Click on plus icon.
3. Enter same data in the Name field which have already created.</v>
      </c>
      <c r="M3" s="7" t="str">
        <f>IFERROR(__xludf.DUMMYFUNCTION("""COMPUTED_VALUE"""),"Message ""Form Name already exists."" should be show.
")</f>
        <v>Message "Form Name already exists." should be show.
</v>
      </c>
      <c r="N3" s="7" t="str">
        <f>IFERROR(__xludf.DUMMYFUNCTION("""COMPUTED_VALUE"""),"In Requirement sheet, Form Name must be unique.")</f>
        <v>In Requirement sheet, Form Name must be unique.</v>
      </c>
      <c r="O3" s="7" t="str">
        <f>IFERROR(__xludf.DUMMYFUNCTION("""COMPUTED_VALUE"""),"Accept form without any validation message")</f>
        <v>Accept form without any validation message</v>
      </c>
      <c r="P3" s="7" t="str">
        <f>IFERROR(__xludf.DUMMYFUNCTION("""COMPUTED_VALUE"""),"Fail")</f>
        <v>Fail</v>
      </c>
      <c r="Q3" s="7" t="str">
        <f>IFERROR(__xludf.DUMMYFUNCTION("""COMPUTED_VALUE"""),"Jaikishan")</f>
        <v>Jaikishan</v>
      </c>
      <c r="R3" s="8">
        <f>IFERROR(__xludf.DUMMYFUNCTION("""COMPUTED_VALUE"""),43783.0)</f>
        <v>43783</v>
      </c>
      <c r="S3" s="7" t="str">
        <f>IFERROR(__xludf.DUMMYFUNCTION("""COMPUTED_VALUE"""),"")</f>
        <v/>
      </c>
      <c r="T3" s="9" t="s">
        <v>2</v>
      </c>
      <c r="U3" s="9" t="s">
        <v>3</v>
      </c>
      <c r="V3" s="7"/>
      <c r="W3" s="7"/>
      <c r="X3" s="7"/>
      <c r="Y3" s="7"/>
      <c r="Z3" s="7"/>
    </row>
    <row r="4">
      <c r="A4" s="7" t="str">
        <f>IFERROR(__xludf.DUMMYFUNCTION("""COMPUTED_VALUE"""),"TCM_dKosh_General_SMF1_001_007")</f>
        <v>TCM_dKosh_General_SMF1_001_007</v>
      </c>
      <c r="B4" s="7" t="str">
        <f>IFERROR(__xludf.DUMMYFUNCTION("""COMPUTED_VALUE"""),"TP_dKosh_General_SMF1_001")</f>
        <v>TP_dKosh_General_SMF1_001</v>
      </c>
      <c r="C4" s="7">
        <f>IFERROR(__xludf.DUMMYFUNCTION("""COMPUTED_VALUE"""),7.0)</f>
        <v>7</v>
      </c>
      <c r="D4" s="7" t="str">
        <f>IFERROR(__xludf.DUMMYFUNCTION("""COMPUTED_VALUE"""),"Web, Mobile")</f>
        <v>Web, Mobile</v>
      </c>
      <c r="E4" s="7" t="str">
        <f>IFERROR(__xludf.DUMMYFUNCTION("""COMPUTED_VALUE"""),"General")</f>
        <v>General</v>
      </c>
      <c r="F4" s="7" t="str">
        <f>IFERROR(__xludf.DUMMYFUNCTION("""COMPUTED_VALUE"""),"Create Form")</f>
        <v>Create Form</v>
      </c>
      <c r="G4" s="7" t="str">
        <f>IFERROR(__xludf.DUMMYFUNCTION("""COMPUTED_VALUE"""),"M")</f>
        <v>M</v>
      </c>
      <c r="H4" s="7" t="str">
        <f>IFERROR(__xludf.DUMMYFUNCTION("""COMPUTED_VALUE"""),"Ankit")</f>
        <v>Ankit</v>
      </c>
      <c r="I4" s="7" t="str">
        <f>IFERROR(__xludf.DUMMYFUNCTION("""COMPUTED_VALUE"""),"Validation")</f>
        <v>Validation</v>
      </c>
      <c r="J4" s="7" t="str">
        <f>IFERROR(__xludf.DUMMYFUNCTION("""COMPUTED_VALUE"""),"")</f>
        <v/>
      </c>
      <c r="K4" s="7" t="str">
        <f>IFERROR(__xludf.DUMMYFUNCTION("""COMPUTED_VALUE"""),"Verify, Short Name field data validation (Integer, String, Alpanumeric)")</f>
        <v>Verify, Short Name field data validation (Integer, String, Alpanumeric)</v>
      </c>
      <c r="L4" s="7" t="str">
        <f>IFERROR(__xludf.DUMMYFUNCTION("""COMPUTED_VALUE"""),"1. Go to manage form list.
2. Click on plus icon.
3. Enter data in the Short Name field.")</f>
        <v>1. Go to manage form list.
2. Click on plus icon.
3. Enter data in the Short Name field.</v>
      </c>
      <c r="M4" s="7" t="str">
        <f>IFERROR(__xludf.DUMMYFUNCTION("""COMPUTED_VALUE"""),"Not written in requirement sheet.
")</f>
        <v>Not written in requirement sheet.
</v>
      </c>
      <c r="N4" s="7" t="str">
        <f>IFERROR(__xludf.DUMMYFUNCTION("""COMPUTED_VALUE"""),"Should it be unique?")</f>
        <v>Should it be unique?</v>
      </c>
      <c r="O4" s="7" t="str">
        <f>IFERROR(__xludf.DUMMYFUNCTION("""COMPUTED_VALUE"""),"It accept only small letters, underscore and dashes.")</f>
        <v>It accept only small letters, underscore and dashes.</v>
      </c>
      <c r="P4" s="7" t="str">
        <f>IFERROR(__xludf.DUMMYFUNCTION("""COMPUTED_VALUE"""),"?")</f>
        <v>?</v>
      </c>
      <c r="Q4" s="7" t="str">
        <f>IFERROR(__xludf.DUMMYFUNCTION("""COMPUTED_VALUE"""),"Jaikishan")</f>
        <v>Jaikishan</v>
      </c>
      <c r="R4" s="8">
        <f>IFERROR(__xludf.DUMMYFUNCTION("""COMPUTED_VALUE"""),43784.0)</f>
        <v>43784</v>
      </c>
      <c r="S4" s="7" t="str">
        <f>IFERROR(__xludf.DUMMYFUNCTION("""COMPUTED_VALUE"""),"")</f>
        <v/>
      </c>
      <c r="T4" s="9" t="s">
        <v>2</v>
      </c>
      <c r="U4" s="7"/>
      <c r="V4" s="7"/>
      <c r="W4" s="7"/>
      <c r="X4" s="7"/>
      <c r="Y4" s="7"/>
      <c r="Z4" s="7"/>
    </row>
    <row r="5">
      <c r="A5" s="7" t="str">
        <f>IFERROR(__xludf.DUMMYFUNCTION("""COMPUTED_VALUE"""),"TCA_dKosh_General_SMF1_001_013")</f>
        <v>TCA_dKosh_General_SMF1_001_013</v>
      </c>
      <c r="B5" s="7" t="str">
        <f>IFERROR(__xludf.DUMMYFUNCTION("""COMPUTED_VALUE"""),"TP_dKosh_General_SMF1_001")</f>
        <v>TP_dKosh_General_SMF1_001</v>
      </c>
      <c r="C5" s="7">
        <f>IFERROR(__xludf.DUMMYFUNCTION("""COMPUTED_VALUE"""),13.0)</f>
        <v>13</v>
      </c>
      <c r="D5" s="7" t="str">
        <f>IFERROR(__xludf.DUMMYFUNCTION("""COMPUTED_VALUE"""),"Web, Mobile")</f>
        <v>Web, Mobile</v>
      </c>
      <c r="E5" s="7" t="str">
        <f>IFERROR(__xludf.DUMMYFUNCTION("""COMPUTED_VALUE"""),"General")</f>
        <v>General</v>
      </c>
      <c r="F5" s="7" t="str">
        <f>IFERROR(__xludf.DUMMYFUNCTION("""COMPUTED_VALUE"""),"Create Form")</f>
        <v>Create Form</v>
      </c>
      <c r="G5" s="7" t="str">
        <f>IFERROR(__xludf.DUMMYFUNCTION("""COMPUTED_VALUE"""),"A")</f>
        <v>A</v>
      </c>
      <c r="H5" s="7" t="str">
        <f>IFERROR(__xludf.DUMMYFUNCTION("""COMPUTED_VALUE"""),"Jaikishan
")</f>
        <v>Jaikishan
</v>
      </c>
      <c r="I5" s="7" t="str">
        <f>IFERROR(__xludf.DUMMYFUNCTION("""COMPUTED_VALUE"""),"Validation")</f>
        <v>Validation</v>
      </c>
      <c r="J5" s="7" t="str">
        <f>IFERROR(__xludf.DUMMYFUNCTION("""COMPUTED_VALUE"""),"")</f>
        <v/>
      </c>
      <c r="K5" s="7" t="str">
        <f>IFERROR(__xludf.DUMMYFUNCTION("""COMPUTED_VALUE"""),"Verify, 'Response Table Name' field data validation (Min &amp; Max Length)")</f>
        <v>Verify, 'Response Table Name' field data validation (Min &amp; Max Length)</v>
      </c>
      <c r="L5" s="7" t="str">
        <f>IFERROR(__xludf.DUMMYFUNCTION("""COMPUTED_VALUE"""),"1. Go to manage form list.
2. Click on plus icon.
3. Fill Short Name.")</f>
        <v>1. Go to manage form list.
2. Click on plus icon.
3. Fill Short Name.</v>
      </c>
      <c r="M5" s="7" t="str">
        <f>IFERROR(__xludf.DUMMYFUNCTION("""COMPUTED_VALUE"""),"Db length should be 50.")</f>
        <v>Db length should be 50.</v>
      </c>
      <c r="N5" s="7" t="str">
        <f>IFERROR(__xludf.DUMMYFUNCTION("""COMPUTED_VALUE"""),"
")</f>
        <v>
</v>
      </c>
      <c r="O5" s="7" t="str">
        <f>IFERROR(__xludf.DUMMYFUNCTION("""COMPUTED_VALUE"""),"Message ""Response Table Name should contain at most 25 characters."" is showing")</f>
        <v>Message "Response Table Name should contain at most 25 characters." is showing</v>
      </c>
      <c r="P5" s="7" t="str">
        <f>IFERROR(__xludf.DUMMYFUNCTION("""COMPUTED_VALUE"""),"Fail")</f>
        <v>Fail</v>
      </c>
      <c r="Q5" s="7" t="str">
        <f>IFERROR(__xludf.DUMMYFUNCTION("""COMPUTED_VALUE"""),"Jaikishan")</f>
        <v>Jaikishan</v>
      </c>
      <c r="R5" s="8">
        <f>IFERROR(__xludf.DUMMYFUNCTION("""COMPUTED_VALUE"""),43784.0)</f>
        <v>43784</v>
      </c>
      <c r="S5" s="7" t="str">
        <f>IFERROR(__xludf.DUMMYFUNCTION("""COMPUTED_VALUE"""),"")</f>
        <v/>
      </c>
      <c r="T5" s="9" t="s">
        <v>2</v>
      </c>
      <c r="U5" s="7"/>
      <c r="V5" s="7"/>
      <c r="W5" s="7"/>
      <c r="X5" s="7"/>
      <c r="Y5" s="7"/>
      <c r="Z5" s="7"/>
    </row>
    <row r="6">
      <c r="A6" s="7" t="str">
        <f>IFERROR(__xludf.DUMMYFUNCTION("""COMPUTED_VALUE"""),"TCM_dKosh_General_SMF1_001_015")</f>
        <v>TCM_dKosh_General_SMF1_001_015</v>
      </c>
      <c r="B6" s="7" t="str">
        <f>IFERROR(__xludf.DUMMYFUNCTION("""COMPUTED_VALUE"""),"TP_dKosh_General_SMF1_001")</f>
        <v>TP_dKosh_General_SMF1_001</v>
      </c>
      <c r="C6" s="7">
        <f>IFERROR(__xludf.DUMMYFUNCTION("""COMPUTED_VALUE"""),15.0)</f>
        <v>15</v>
      </c>
      <c r="D6" s="7" t="str">
        <f>IFERROR(__xludf.DUMMYFUNCTION("""COMPUTED_VALUE"""),"Web, Mobile")</f>
        <v>Web, Mobile</v>
      </c>
      <c r="E6" s="7" t="str">
        <f>IFERROR(__xludf.DUMMYFUNCTION("""COMPUTED_VALUE"""),"General")</f>
        <v>General</v>
      </c>
      <c r="F6" s="7" t="str">
        <f>IFERROR(__xludf.DUMMYFUNCTION("""COMPUTED_VALUE"""),"Create Form")</f>
        <v>Create Form</v>
      </c>
      <c r="G6" s="7" t="str">
        <f>IFERROR(__xludf.DUMMYFUNCTION("""COMPUTED_VALUE"""),"M")</f>
        <v>M</v>
      </c>
      <c r="H6" s="7" t="str">
        <f>IFERROR(__xludf.DUMMYFUNCTION("""COMPUTED_VALUE"""),"Jaikishan
")</f>
        <v>Jaikishan
</v>
      </c>
      <c r="I6" s="7" t="str">
        <f>IFERROR(__xludf.DUMMYFUNCTION("""COMPUTED_VALUE"""),"Validation")</f>
        <v>Validation</v>
      </c>
      <c r="J6" s="7" t="str">
        <f>IFERROR(__xludf.DUMMYFUNCTION("""COMPUTED_VALUE"""),"")</f>
        <v/>
      </c>
      <c r="K6" s="7" t="str">
        <f>IFERROR(__xludf.DUMMYFUNCTION("""COMPUTED_VALUE"""),"Verify, 'Available From' field data validation is mandatory.")</f>
        <v>Verify, 'Available From' field data validation is mandatory.</v>
      </c>
      <c r="L6" s="7" t="str">
        <f>IFERROR(__xludf.DUMMYFUNCTION("""COMPUTED_VALUE"""),"1. Go to manage form list.
2. Click on plus icon.
3. Select Other field excluing 'Available From""")</f>
        <v>1. Go to manage form list.
2. Click on plus icon.
3. Select Other field excluing 'Available From"</v>
      </c>
      <c r="M6" s="7" t="str">
        <f>IFERROR(__xludf.DUMMYFUNCTION("""COMPUTED_VALUE"""),"""Available From"" field should be mandatory.")</f>
        <v>"Available From" field should be mandatory.</v>
      </c>
      <c r="N6" s="7" t="str">
        <f>IFERROR(__xludf.DUMMYFUNCTION("""COMPUTED_VALUE"""),"")</f>
        <v/>
      </c>
      <c r="O6" s="7" t="str">
        <f>IFERROR(__xludf.DUMMYFUNCTION("""COMPUTED_VALUE"""),"Showing database SQL exception when save form without Available From.
")</f>
        <v>Showing database SQL exception when save form without Available From.
</v>
      </c>
      <c r="P6" s="7" t="str">
        <f>IFERROR(__xludf.DUMMYFUNCTION("""COMPUTED_VALUE"""),"Fail")</f>
        <v>Fail</v>
      </c>
      <c r="Q6" s="7" t="str">
        <f>IFERROR(__xludf.DUMMYFUNCTION("""COMPUTED_VALUE"""),"Jaikishan")</f>
        <v>Jaikishan</v>
      </c>
      <c r="R6" s="8">
        <f>IFERROR(__xludf.DUMMYFUNCTION("""COMPUTED_VALUE"""),43784.0)</f>
        <v>43784</v>
      </c>
      <c r="S6" s="7" t="str">
        <f>IFERROR(__xludf.DUMMYFUNCTION("""COMPUTED_VALUE"""),"")</f>
        <v/>
      </c>
      <c r="T6" s="9" t="s">
        <v>2</v>
      </c>
      <c r="U6" s="7"/>
      <c r="V6" s="7"/>
      <c r="W6" s="7"/>
      <c r="X6" s="7"/>
      <c r="Y6" s="7"/>
      <c r="Z6" s="7"/>
    </row>
    <row r="7">
      <c r="A7" s="7" t="str">
        <f>IFERROR(__xludf.DUMMYFUNCTION("""COMPUTED_VALUE"""),"TCA_dKosh_General_SMF1_001_017")</f>
        <v>TCA_dKosh_General_SMF1_001_017</v>
      </c>
      <c r="B7" s="7" t="str">
        <f>IFERROR(__xludf.DUMMYFUNCTION("""COMPUTED_VALUE"""),"TP_dKosh_General_SMF1_001")</f>
        <v>TP_dKosh_General_SMF1_001</v>
      </c>
      <c r="C7" s="7">
        <f>IFERROR(__xludf.DUMMYFUNCTION("""COMPUTED_VALUE"""),17.0)</f>
        <v>17</v>
      </c>
      <c r="D7" s="7" t="str">
        <f>IFERROR(__xludf.DUMMYFUNCTION("""COMPUTED_VALUE"""),"Web, Mobile")</f>
        <v>Web, Mobile</v>
      </c>
      <c r="E7" s="7" t="str">
        <f>IFERROR(__xludf.DUMMYFUNCTION("""COMPUTED_VALUE"""),"General")</f>
        <v>General</v>
      </c>
      <c r="F7" s="7" t="str">
        <f>IFERROR(__xludf.DUMMYFUNCTION("""COMPUTED_VALUE"""),"Create Form")</f>
        <v>Create Form</v>
      </c>
      <c r="G7" s="7" t="str">
        <f>IFERROR(__xludf.DUMMYFUNCTION("""COMPUTED_VALUE"""),"A")</f>
        <v>A</v>
      </c>
      <c r="H7" s="7" t="str">
        <f>IFERROR(__xludf.DUMMYFUNCTION("""COMPUTED_VALUE"""),"Aditya")</f>
        <v>Aditya</v>
      </c>
      <c r="I7" s="7" t="str">
        <f>IFERROR(__xludf.DUMMYFUNCTION("""COMPUTED_VALUE"""),"Validation")</f>
        <v>Validation</v>
      </c>
      <c r="J7" s="7" t="str">
        <f>IFERROR(__xludf.DUMMYFUNCTION("""COMPUTED_VALUE"""),"")</f>
        <v/>
      </c>
      <c r="K7" s="7" t="str">
        <f>IFERROR(__xludf.DUMMYFUNCTION("""COMPUTED_VALUE"""),"Verify, 'Available From' field data validation with invalid data.")</f>
        <v>Verify, 'Available From' field data validation with invalid data.</v>
      </c>
      <c r="L7" s="7" t="str">
        <f>IFERROR(__xludf.DUMMYFUNCTION("""COMPUTED_VALUE"""),"1. Go to manage form list.
2. Click on plus icon.
3. Click on 'Available From' field.
4. Select any date")</f>
        <v>1. Go to manage form list.
2. Click on plus icon.
3. Click on 'Available From' field.
4. Select any date</v>
      </c>
      <c r="M7" s="7" t="str">
        <f>IFERROR(__xludf.DUMMYFUNCTION("""COMPUTED_VALUE"""),"Available from date can accept all date before and future.")</f>
        <v>Available from date can accept all date before and future.</v>
      </c>
      <c r="N7" s="7" t="str">
        <f>IFERROR(__xludf.DUMMYFUNCTION("""COMPUTED_VALUE"""),"")</f>
        <v/>
      </c>
      <c r="O7" s="7" t="str">
        <f>IFERROR(__xludf.DUMMYFUNCTION("""COMPUTED_VALUE"""),"Accept only from current Date.
")</f>
        <v>Accept only from current Date.
</v>
      </c>
      <c r="P7" s="7" t="str">
        <f>IFERROR(__xludf.DUMMYFUNCTION("""COMPUTED_VALUE"""),"Fail")</f>
        <v>Fail</v>
      </c>
      <c r="Q7" s="7" t="str">
        <f>IFERROR(__xludf.DUMMYFUNCTION("""COMPUTED_VALUE"""),"Jaikishan")</f>
        <v>Jaikishan</v>
      </c>
      <c r="R7" s="8">
        <f>IFERROR(__xludf.DUMMYFUNCTION("""COMPUTED_VALUE"""),43784.0)</f>
        <v>43784</v>
      </c>
      <c r="S7" s="7" t="str">
        <f>IFERROR(__xludf.DUMMYFUNCTION("""COMPUTED_VALUE"""),"")</f>
        <v/>
      </c>
      <c r="T7" s="9" t="s">
        <v>2</v>
      </c>
      <c r="U7" s="7"/>
      <c r="V7" s="7"/>
      <c r="W7" s="7"/>
      <c r="X7" s="7"/>
      <c r="Y7" s="7"/>
      <c r="Z7" s="7"/>
    </row>
    <row r="8">
      <c r="A8" s="7" t="str">
        <f>IFERROR(__xludf.DUMMYFUNCTION("""COMPUTED_VALUE"""),"TCA_dKosh_General_SMF1_001_019")</f>
        <v>TCA_dKosh_General_SMF1_001_019</v>
      </c>
      <c r="B8" s="7" t="str">
        <f>IFERROR(__xludf.DUMMYFUNCTION("""COMPUTED_VALUE"""),"TP_dKosh_General_SMF1_001")</f>
        <v>TP_dKosh_General_SMF1_001</v>
      </c>
      <c r="C8" s="7">
        <f>IFERROR(__xludf.DUMMYFUNCTION("""COMPUTED_VALUE"""),19.0)</f>
        <v>19</v>
      </c>
      <c r="D8" s="7" t="str">
        <f>IFERROR(__xludf.DUMMYFUNCTION("""COMPUTED_VALUE"""),"Web, Mobile")</f>
        <v>Web, Mobile</v>
      </c>
      <c r="E8" s="7" t="str">
        <f>IFERROR(__xludf.DUMMYFUNCTION("""COMPUTED_VALUE"""),"General")</f>
        <v>General</v>
      </c>
      <c r="F8" s="7" t="str">
        <f>IFERROR(__xludf.DUMMYFUNCTION("""COMPUTED_VALUE"""),"Create Form")</f>
        <v>Create Form</v>
      </c>
      <c r="G8" s="7" t="str">
        <f>IFERROR(__xludf.DUMMYFUNCTION("""COMPUTED_VALUE"""),"A")</f>
        <v>A</v>
      </c>
      <c r="H8" s="7" t="str">
        <f>IFERROR(__xludf.DUMMYFUNCTION("""COMPUTED_VALUE"""),"Jaikishan
")</f>
        <v>Jaikishan
</v>
      </c>
      <c r="I8" s="7" t="str">
        <f>IFERROR(__xludf.DUMMYFUNCTION("""COMPUTED_VALUE"""),"Validation")</f>
        <v>Validation</v>
      </c>
      <c r="J8" s="7" t="str">
        <f>IFERROR(__xludf.DUMMYFUNCTION("""COMPUTED_VALUE"""),"")</f>
        <v/>
      </c>
      <c r="K8" s="7" t="str">
        <f>IFERROR(__xludf.DUMMYFUNCTION("""COMPUTED_VALUE"""),"Verify, 'Available Upto' field data validation is mandatory.")</f>
        <v>Verify, 'Available Upto' field data validation is mandatory.</v>
      </c>
      <c r="L8" s="7" t="str">
        <f>IFERROR(__xludf.DUMMYFUNCTION("""COMPUTED_VALUE"""),"1. Go to manage form list.
2. Click on plus icon.
3. Select Other field excluing 'Availabel Upto""")</f>
        <v>1. Go to manage form list.
2. Click on plus icon.
3. Select Other field excluing 'Availabel Upto"</v>
      </c>
      <c r="M8" s="7" t="str">
        <f>IFERROR(__xludf.DUMMYFUNCTION("""COMPUTED_VALUE"""),"""Available Upto"" field should not be mandatory.")</f>
        <v>"Available Upto" field should not be mandatory.</v>
      </c>
      <c r="N8" s="7" t="str">
        <f>IFERROR(__xludf.DUMMYFUNCTION("""COMPUTED_VALUE"""),"")</f>
        <v/>
      </c>
      <c r="O8" s="7" t="str">
        <f>IFERROR(__xludf.DUMMYFUNCTION("""COMPUTED_VALUE"""),"Showing database SQL exception when save form without Available Upto.
")</f>
        <v>Showing database SQL exception when save form without Available Upto.
</v>
      </c>
      <c r="P8" s="7" t="str">
        <f>IFERROR(__xludf.DUMMYFUNCTION("""COMPUTED_VALUE"""),"Fail")</f>
        <v>Fail</v>
      </c>
      <c r="Q8" s="7" t="str">
        <f>IFERROR(__xludf.DUMMYFUNCTION("""COMPUTED_VALUE"""),"Jaikishan")</f>
        <v>Jaikishan</v>
      </c>
      <c r="R8" s="8">
        <f>IFERROR(__xludf.DUMMYFUNCTION("""COMPUTED_VALUE"""),43784.0)</f>
        <v>43784</v>
      </c>
      <c r="S8" s="7" t="str">
        <f>IFERROR(__xludf.DUMMYFUNCTION("""COMPUTED_VALUE"""),"")</f>
        <v/>
      </c>
      <c r="T8" s="9" t="s">
        <v>2</v>
      </c>
      <c r="U8" s="7"/>
      <c r="V8" s="7"/>
      <c r="W8" s="7"/>
      <c r="X8" s="7"/>
      <c r="Y8" s="7"/>
      <c r="Z8" s="7"/>
    </row>
    <row r="9">
      <c r="A9" s="7" t="str">
        <f>IFERROR(__xludf.DUMMYFUNCTION("""COMPUTED_VALUE"""),"TCA_dKosh_General_SMF1_001_020")</f>
        <v>TCA_dKosh_General_SMF1_001_020</v>
      </c>
      <c r="B9" s="7" t="str">
        <f>IFERROR(__xludf.DUMMYFUNCTION("""COMPUTED_VALUE"""),"TP_dKosh_General_SMF1_001")</f>
        <v>TP_dKosh_General_SMF1_001</v>
      </c>
      <c r="C9" s="7">
        <f>IFERROR(__xludf.DUMMYFUNCTION("""COMPUTED_VALUE"""),20.0)</f>
        <v>20</v>
      </c>
      <c r="D9" s="7" t="str">
        <f>IFERROR(__xludf.DUMMYFUNCTION("""COMPUTED_VALUE"""),"Web, Mobile")</f>
        <v>Web, Mobile</v>
      </c>
      <c r="E9" s="7" t="str">
        <f>IFERROR(__xludf.DUMMYFUNCTION("""COMPUTED_VALUE"""),"General")</f>
        <v>General</v>
      </c>
      <c r="F9" s="7" t="str">
        <f>IFERROR(__xludf.DUMMYFUNCTION("""COMPUTED_VALUE"""),"Create Form")</f>
        <v>Create Form</v>
      </c>
      <c r="G9" s="7" t="str">
        <f>IFERROR(__xludf.DUMMYFUNCTION("""COMPUTED_VALUE"""),"A")</f>
        <v>A</v>
      </c>
      <c r="H9" s="7" t="str">
        <f>IFERROR(__xludf.DUMMYFUNCTION("""COMPUTED_VALUE"""),"Aditya")</f>
        <v>Aditya</v>
      </c>
      <c r="I9" s="7" t="str">
        <f>IFERROR(__xludf.DUMMYFUNCTION("""COMPUTED_VALUE"""),"Validation")</f>
        <v>Validation</v>
      </c>
      <c r="J9" s="7" t="str">
        <f>IFERROR(__xludf.DUMMYFUNCTION("""COMPUTED_VALUE"""),"")</f>
        <v/>
      </c>
      <c r="K9" s="7" t="str">
        <f>IFERROR(__xludf.DUMMYFUNCTION("""COMPUTED_VALUE"""),"Verify, 'Available Upto' field data validation.")</f>
        <v>Verify, 'Available Upto' field data validation.</v>
      </c>
      <c r="L9" s="7" t="str">
        <f>IFERROR(__xludf.DUMMYFUNCTION("""COMPUTED_VALUE"""),"1. Go to manage form list.
2. Click on plus icon.
3. Click on 'Available Upto' field.
4. Select any valid date.")</f>
        <v>1. Go to manage form list.
2. Click on plus icon.
3. Click on 'Available Upto' field.
4. Select any valid date.</v>
      </c>
      <c r="M9" s="7" t="str">
        <f>IFERROR(__xludf.DUMMYFUNCTION("""COMPUTED_VALUE"""),"1. Not mandatory
2. Will not accept alphabets.")</f>
        <v>1. Not mandatory
2. Will not accept alphabets.</v>
      </c>
      <c r="N9" s="7" t="str">
        <f>IFERROR(__xludf.DUMMYFUNCTION("""COMPUTED_VALUE"""),"")</f>
        <v/>
      </c>
      <c r="O9" s="7" t="str">
        <f>IFERROR(__xludf.DUMMYFUNCTION("""COMPUTED_VALUE"""),"Showing exception when available upto not fill and Save form")</f>
        <v>Showing exception when available upto not fill and Save form</v>
      </c>
      <c r="P9" s="7" t="str">
        <f>IFERROR(__xludf.DUMMYFUNCTION("""COMPUTED_VALUE"""),"Fail")</f>
        <v>Fail</v>
      </c>
      <c r="Q9" s="7" t="str">
        <f>IFERROR(__xludf.DUMMYFUNCTION("""COMPUTED_VALUE"""),"Jaikishan")</f>
        <v>Jaikishan</v>
      </c>
      <c r="R9" s="8">
        <f>IFERROR(__xludf.DUMMYFUNCTION("""COMPUTED_VALUE"""),43784.0)</f>
        <v>43784</v>
      </c>
      <c r="S9" s="7" t="str">
        <f>IFERROR(__xludf.DUMMYFUNCTION("""COMPUTED_VALUE"""),"")</f>
        <v/>
      </c>
      <c r="T9" s="9" t="s">
        <v>2</v>
      </c>
      <c r="U9" s="7"/>
      <c r="V9" s="7"/>
      <c r="W9" s="7"/>
      <c r="X9" s="7"/>
      <c r="Y9" s="7"/>
      <c r="Z9" s="7"/>
    </row>
    <row r="10">
      <c r="A10" s="7" t="str">
        <f>IFERROR(__xludf.DUMMYFUNCTION("""COMPUTED_VALUE"""),"TCA_dKosh_General_SMF1_001_021")</f>
        <v>TCA_dKosh_General_SMF1_001_021</v>
      </c>
      <c r="B10" s="7" t="str">
        <f>IFERROR(__xludf.DUMMYFUNCTION("""COMPUTED_VALUE"""),"TP_dKosh_General_SMF1_001")</f>
        <v>TP_dKosh_General_SMF1_001</v>
      </c>
      <c r="C10" s="7">
        <f>IFERROR(__xludf.DUMMYFUNCTION("""COMPUTED_VALUE"""),21.0)</f>
        <v>21</v>
      </c>
      <c r="D10" s="7" t="str">
        <f>IFERROR(__xludf.DUMMYFUNCTION("""COMPUTED_VALUE"""),"Web, Mobile")</f>
        <v>Web, Mobile</v>
      </c>
      <c r="E10" s="7" t="str">
        <f>IFERROR(__xludf.DUMMYFUNCTION("""COMPUTED_VALUE"""),"General")</f>
        <v>General</v>
      </c>
      <c r="F10" s="7" t="str">
        <f>IFERROR(__xludf.DUMMYFUNCTION("""COMPUTED_VALUE"""),"Create Form")</f>
        <v>Create Form</v>
      </c>
      <c r="G10" s="7" t="str">
        <f>IFERROR(__xludf.DUMMYFUNCTION("""COMPUTED_VALUE"""),"A")</f>
        <v>A</v>
      </c>
      <c r="H10" s="7" t="str">
        <f>IFERROR(__xludf.DUMMYFUNCTION("""COMPUTED_VALUE"""),"Aditya")</f>
        <v>Aditya</v>
      </c>
      <c r="I10" s="7" t="str">
        <f>IFERROR(__xludf.DUMMYFUNCTION("""COMPUTED_VALUE"""),"Validation")</f>
        <v>Validation</v>
      </c>
      <c r="J10" s="7" t="str">
        <f>IFERROR(__xludf.DUMMYFUNCTION("""COMPUTED_VALUE"""),"")</f>
        <v/>
      </c>
      <c r="K10" s="7" t="str">
        <f>IFERROR(__xludf.DUMMYFUNCTION("""COMPUTED_VALUE"""),"Verify, 'Available Upto' field data validation with lesser than current date")</f>
        <v>Verify, 'Available Upto' field data validation with lesser than current date</v>
      </c>
      <c r="L10" s="7" t="str">
        <f>IFERROR(__xludf.DUMMYFUNCTION("""COMPUTED_VALUE"""),"1. Go to manage form list.
2. Click on plus icon.
3. Click on 'Available From' field.
4. Select any date")</f>
        <v>1. Go to manage form list.
2. Click on plus icon.
3. Click on 'Available From' field.
4. Select any date</v>
      </c>
      <c r="M10" s="7" t="str">
        <f>IFERROR(__xludf.DUMMYFUNCTION("""COMPUTED_VALUE"""),"Available Upto date should accept previous date but more than Availlable From date.
")</f>
        <v>Available Upto date should accept previous date but more than Availlable From date.
</v>
      </c>
      <c r="N10" s="7" t="str">
        <f>IFERROR(__xludf.DUMMYFUNCTION("""COMPUTED_VALUE"""),"")</f>
        <v/>
      </c>
      <c r="O10" s="7" t="str">
        <f>IFERROR(__xludf.DUMMYFUNCTION("""COMPUTED_VALUE"""),"Not accept before current date.")</f>
        <v>Not accept before current date.</v>
      </c>
      <c r="P10" s="7" t="str">
        <f>IFERROR(__xludf.DUMMYFUNCTION("""COMPUTED_VALUE"""),"Fail")</f>
        <v>Fail</v>
      </c>
      <c r="Q10" s="7" t="str">
        <f>IFERROR(__xludf.DUMMYFUNCTION("""COMPUTED_VALUE"""),"Jaikishan")</f>
        <v>Jaikishan</v>
      </c>
      <c r="R10" s="8">
        <f>IFERROR(__xludf.DUMMYFUNCTION("""COMPUTED_VALUE"""),43784.0)</f>
        <v>43784</v>
      </c>
      <c r="S10" s="7" t="str">
        <f>IFERROR(__xludf.DUMMYFUNCTION("""COMPUTED_VALUE"""),"")</f>
        <v/>
      </c>
      <c r="T10" s="9" t="s">
        <v>2</v>
      </c>
      <c r="U10" s="9" t="s">
        <v>4</v>
      </c>
      <c r="V10" s="7"/>
      <c r="W10" s="7"/>
      <c r="X10" s="7"/>
      <c r="Y10" s="7"/>
      <c r="Z10" s="7"/>
    </row>
    <row r="11">
      <c r="A11" s="7" t="str">
        <f>IFERROR(__xludf.DUMMYFUNCTION("""COMPUTED_VALUE"""),"TCM_dKosh_General_SMF1_001_022")</f>
        <v>TCM_dKosh_General_SMF1_001_022</v>
      </c>
      <c r="B11" s="7" t="str">
        <f>IFERROR(__xludf.DUMMYFUNCTION("""COMPUTED_VALUE"""),"TP_dKosh_General_SMF1_001")</f>
        <v>TP_dKosh_General_SMF1_001</v>
      </c>
      <c r="C11" s="7">
        <f>IFERROR(__xludf.DUMMYFUNCTION("""COMPUTED_VALUE"""),22.0)</f>
        <v>22</v>
      </c>
      <c r="D11" s="7" t="str">
        <f>IFERROR(__xludf.DUMMYFUNCTION("""COMPUTED_VALUE"""),"Web, Mobile")</f>
        <v>Web, Mobile</v>
      </c>
      <c r="E11" s="7" t="str">
        <f>IFERROR(__xludf.DUMMYFUNCTION("""COMPUTED_VALUE"""),"General")</f>
        <v>General</v>
      </c>
      <c r="F11" s="7" t="str">
        <f>IFERROR(__xludf.DUMMYFUNCTION("""COMPUTED_VALUE"""),"Create Form")</f>
        <v>Create Form</v>
      </c>
      <c r="G11" s="7" t="str">
        <f>IFERROR(__xludf.DUMMYFUNCTION("""COMPUTED_VALUE"""),"M")</f>
        <v>M</v>
      </c>
      <c r="H11" s="7" t="str">
        <f>IFERROR(__xludf.DUMMYFUNCTION("""COMPUTED_VALUE"""),"Aditya")</f>
        <v>Aditya</v>
      </c>
      <c r="I11" s="7" t="str">
        <f>IFERROR(__xludf.DUMMYFUNCTION("""COMPUTED_VALUE"""),"UI")</f>
        <v>UI</v>
      </c>
      <c r="J11" s="7" t="str">
        <f>IFERROR(__xludf.DUMMYFUNCTION("""COMPUTED_VALUE"""),"")</f>
        <v/>
      </c>
      <c r="K11" s="7" t="str">
        <f>IFERROR(__xludf.DUMMYFUNCTION("""COMPUTED_VALUE"""),"Verify, Caption, Place holder, Control type and default value of 'Allowed Duration' field.")</f>
        <v>Verify, Caption, Place holder, Control type and default value of 'Allowed Duration' field.</v>
      </c>
      <c r="L11" s="7" t="str">
        <f>IFERROR(__xludf.DUMMYFUNCTION("""COMPUTED_VALUE"""),"1. Go to manage form list.
2. Click on plus icon.
3. Click on 'Allowed Duration' field.")</f>
        <v>1. Go to manage form list.
2. Click on plus icon.
3. Click on 'Allowed Duration' field.</v>
      </c>
      <c r="M11" s="7" t="str">
        <f>IFERROR(__xludf.DUMMYFUNCTION("""COMPUTED_VALUE"""),"Caption : Allowed Duration
Place Holder : --
Control Type : Text (Autocomplete)
Default Value : 0 (means no limit)")</f>
        <v>Caption : Allowed Duration
Place Holder : --
Control Type : Text (Autocomplete)
Default Value : 0 (means no limit)</v>
      </c>
      <c r="N11" s="7" t="str">
        <f>IFERROR(__xludf.DUMMYFUNCTION("""COMPUTED_VALUE"""),"")</f>
        <v/>
      </c>
      <c r="O11" s="7" t="str">
        <f>IFERROR(__xludf.DUMMYFUNCTION("""COMPUTED_VALUE"""),"Control Type is Text.")</f>
        <v>Control Type is Text.</v>
      </c>
      <c r="P11" s="7" t="str">
        <f>IFERROR(__xludf.DUMMYFUNCTION("""COMPUTED_VALUE"""),"Fail")</f>
        <v>Fail</v>
      </c>
      <c r="Q11" s="7" t="str">
        <f>IFERROR(__xludf.DUMMYFUNCTION("""COMPUTED_VALUE"""),"Jaikishan")</f>
        <v>Jaikishan</v>
      </c>
      <c r="R11" s="8">
        <f>IFERROR(__xludf.DUMMYFUNCTION("""COMPUTED_VALUE"""),43784.0)</f>
        <v>43784</v>
      </c>
      <c r="S11" s="7" t="str">
        <f>IFERROR(__xludf.DUMMYFUNCTION("""COMPUTED_VALUE"""),"")</f>
        <v/>
      </c>
      <c r="T11" s="7"/>
      <c r="U11" s="9" t="s">
        <v>5</v>
      </c>
      <c r="V11" s="7"/>
      <c r="W11" s="7"/>
      <c r="X11" s="7"/>
      <c r="Y11" s="7"/>
      <c r="Z11" s="7"/>
    </row>
    <row r="12">
      <c r="A12" s="7" t="str">
        <f>IFERROR(__xludf.DUMMYFUNCTION("""COMPUTED_VALUE"""),"TCA_dKosh_General_SMF1_001_025")</f>
        <v>TCA_dKosh_General_SMF1_001_025</v>
      </c>
      <c r="B12" s="7" t="str">
        <f>IFERROR(__xludf.DUMMYFUNCTION("""COMPUTED_VALUE"""),"TP_dKosh_General_SMF1_001")</f>
        <v>TP_dKosh_General_SMF1_001</v>
      </c>
      <c r="C12" s="7">
        <f>IFERROR(__xludf.DUMMYFUNCTION("""COMPUTED_VALUE"""),25.0)</f>
        <v>25</v>
      </c>
      <c r="D12" s="7" t="str">
        <f>IFERROR(__xludf.DUMMYFUNCTION("""COMPUTED_VALUE"""),"Web, Mobile")</f>
        <v>Web, Mobile</v>
      </c>
      <c r="E12" s="7" t="str">
        <f>IFERROR(__xludf.DUMMYFUNCTION("""COMPUTED_VALUE"""),"General")</f>
        <v>General</v>
      </c>
      <c r="F12" s="7" t="str">
        <f>IFERROR(__xludf.DUMMYFUNCTION("""COMPUTED_VALUE"""),"Create Form")</f>
        <v>Create Form</v>
      </c>
      <c r="G12" s="7" t="str">
        <f>IFERROR(__xludf.DUMMYFUNCTION("""COMPUTED_VALUE"""),"A")</f>
        <v>A</v>
      </c>
      <c r="H12" s="7" t="str">
        <f>IFERROR(__xludf.DUMMYFUNCTION("""COMPUTED_VALUE"""),"Aditya")</f>
        <v>Aditya</v>
      </c>
      <c r="I12" s="7" t="str">
        <f>IFERROR(__xludf.DUMMYFUNCTION("""COMPUTED_VALUE"""),"Validation")</f>
        <v>Validation</v>
      </c>
      <c r="J12" s="7" t="str">
        <f>IFERROR(__xludf.DUMMYFUNCTION("""COMPUTED_VALUE"""),"")</f>
        <v/>
      </c>
      <c r="K12" s="7" t="str">
        <f>IFERROR(__xludf.DUMMYFUNCTION("""COMPUTED_VALUE"""),"Verify, 'Allowed Duration' field data validation.")</f>
        <v>Verify, 'Allowed Duration' field data validation.</v>
      </c>
      <c r="L12" s="7" t="str">
        <f>IFERROR(__xludf.DUMMYFUNCTION("""COMPUTED_VALUE"""),"1. Go to manage form list.
2. Click on plus icon.
3. Click on 'Allowed Duration' field.")</f>
        <v>1. Go to manage form list.
2. Click on plus icon.
3. Click on 'Allowed Duration' field.</v>
      </c>
      <c r="M12" s="7" t="str">
        <f>IFERROR(__xludf.DUMMYFUNCTION("""COMPUTED_VALUE"""),"1. Count from 0 to 11 for HH (hours)
2. Count from 0 to 59 for MM (Minutes)")</f>
        <v>1. Count from 0 to 11 for HH (hours)
2. Count from 0 to 59 for MM (Minutes)</v>
      </c>
      <c r="N12" s="7" t="str">
        <f>IFERROR(__xludf.DUMMYFUNCTION("""COMPUTED_VALUE"""),"Requirement sheet is wrong for Hour maximum value.")</f>
        <v>Requirement sheet is wrong for Hour maximum value.</v>
      </c>
      <c r="O12" s="7" t="str">
        <f>IFERROR(__xludf.DUMMYFUNCTION("""COMPUTED_VALUE"""),"Hour accept upto 24 and minute 59.")</f>
        <v>Hour accept upto 24 and minute 59.</v>
      </c>
      <c r="P12" s="7" t="str">
        <f>IFERROR(__xludf.DUMMYFUNCTION("""COMPUTED_VALUE"""),"Fail")</f>
        <v>Fail</v>
      </c>
      <c r="Q12" s="7" t="str">
        <f>IFERROR(__xludf.DUMMYFUNCTION("""COMPUTED_VALUE"""),"Jaikishan")</f>
        <v>Jaikishan</v>
      </c>
      <c r="R12" s="8">
        <f>IFERROR(__xludf.DUMMYFUNCTION("""COMPUTED_VALUE"""),43784.0)</f>
        <v>43784</v>
      </c>
      <c r="S12" s="7" t="str">
        <f>IFERROR(__xludf.DUMMYFUNCTION("""COMPUTED_VALUE"""),"")</f>
        <v/>
      </c>
      <c r="T12" s="9" t="s">
        <v>2</v>
      </c>
      <c r="U12" s="7"/>
      <c r="V12" s="7"/>
      <c r="W12" s="7"/>
      <c r="X12" s="7"/>
      <c r="Y12" s="7"/>
      <c r="Z12" s="7"/>
    </row>
    <row r="13">
      <c r="A13" s="7" t="str">
        <f>IFERROR(__xludf.DUMMYFUNCTION("""COMPUTED_VALUE"""),"TCM_dKosh_General_SMF1_001_027")</f>
        <v>TCM_dKosh_General_SMF1_001_027</v>
      </c>
      <c r="B13" s="7" t="str">
        <f>IFERROR(__xludf.DUMMYFUNCTION("""COMPUTED_VALUE"""),"TP_dKosh_General_SMF1_001")</f>
        <v>TP_dKosh_General_SMF1_001</v>
      </c>
      <c r="C13" s="7">
        <f>IFERROR(__xludf.DUMMYFUNCTION("""COMPUTED_VALUE"""),27.0)</f>
        <v>27</v>
      </c>
      <c r="D13" s="7" t="str">
        <f>IFERROR(__xludf.DUMMYFUNCTION("""COMPUTED_VALUE"""),"Web, Mobile")</f>
        <v>Web, Mobile</v>
      </c>
      <c r="E13" s="7" t="str">
        <f>IFERROR(__xludf.DUMMYFUNCTION("""COMPUTED_VALUE"""),"General")</f>
        <v>General</v>
      </c>
      <c r="F13" s="7" t="str">
        <f>IFERROR(__xludf.DUMMYFUNCTION("""COMPUTED_VALUE"""),"Create Form")</f>
        <v>Create Form</v>
      </c>
      <c r="G13" s="7" t="str">
        <f>IFERROR(__xludf.DUMMYFUNCTION("""COMPUTED_VALUE"""),"M")</f>
        <v>M</v>
      </c>
      <c r="H13" s="7" t="str">
        <f>IFERROR(__xludf.DUMMYFUNCTION("""COMPUTED_VALUE"""),"Aditya")</f>
        <v>Aditya</v>
      </c>
      <c r="I13" s="7" t="str">
        <f>IFERROR(__xludf.DUMMYFUNCTION("""COMPUTED_VALUE"""),"UI")</f>
        <v>UI</v>
      </c>
      <c r="J13" s="7" t="str">
        <f>IFERROR(__xludf.DUMMYFUNCTION("""COMPUTED_VALUE"""),"")</f>
        <v/>
      </c>
      <c r="K13" s="7" t="str">
        <f>IFERROR(__xludf.DUMMYFUNCTION("""COMPUTED_VALUE"""),"Verify, Options displaying in Response Frequency dropdown.")</f>
        <v>Verify, Options displaying in Response Frequency dropdown.</v>
      </c>
      <c r="L13" s="7" t="str">
        <f>IFERROR(__xludf.DUMMYFUNCTION("""COMPUTED_VALUE"""),"1. Go to manage form list.
2. Click on plus icon.
3. Click on Response Frequency dropdown.")</f>
        <v>1. Go to manage form list.
2. Click on plus icon.
3. Click on Response Frequency dropdown.</v>
      </c>
      <c r="M13" s="7" t="str">
        <f>IFERROR(__xludf.DUMMYFUNCTION("""COMPUTED_VALUE"""),"1. Once
2. Hourly
3. Daily
4. Weekly
5. Monthly
6. Quarterly
7. Yearly")</f>
        <v>1. Once
2. Hourly
3. Daily
4. Weekly
5. Monthly
6. Quarterly
7. Yearly</v>
      </c>
      <c r="N13" s="7" t="str">
        <f>IFERROR(__xludf.DUMMYFUNCTION("""COMPUTED_VALUE"""),"")</f>
        <v/>
      </c>
      <c r="O13" s="7" t="str">
        <f>IFERROR(__xludf.DUMMYFUNCTION("""COMPUTED_VALUE"""),"Not given in Requirement sheet.")</f>
        <v>Not given in Requirement sheet.</v>
      </c>
      <c r="P13" s="7" t="str">
        <f>IFERROR(__xludf.DUMMYFUNCTION("""COMPUTED_VALUE"""),"Fail")</f>
        <v>Fail</v>
      </c>
      <c r="Q13" s="7" t="str">
        <f>IFERROR(__xludf.DUMMYFUNCTION("""COMPUTED_VALUE"""),"Jaikishan")</f>
        <v>Jaikishan</v>
      </c>
      <c r="R13" s="8">
        <f>IFERROR(__xludf.DUMMYFUNCTION("""COMPUTED_VALUE"""),43784.0)</f>
        <v>43784</v>
      </c>
      <c r="S13" s="7" t="str">
        <f>IFERROR(__xludf.DUMMYFUNCTION("""COMPUTED_VALUE"""),"")</f>
        <v/>
      </c>
      <c r="T13" s="9" t="s">
        <v>2</v>
      </c>
      <c r="U13" s="9" t="s">
        <v>6</v>
      </c>
      <c r="V13" s="7"/>
      <c r="W13" s="7"/>
      <c r="X13" s="7"/>
      <c r="Y13" s="7"/>
      <c r="Z13" s="7"/>
    </row>
    <row r="14">
      <c r="A14" s="7" t="str">
        <f>IFERROR(__xludf.DUMMYFUNCTION("""COMPUTED_VALUE"""),"TCA_dKosh_General_SMF1_001_028")</f>
        <v>TCA_dKosh_General_SMF1_001_028</v>
      </c>
      <c r="B14" s="7" t="str">
        <f>IFERROR(__xludf.DUMMYFUNCTION("""COMPUTED_VALUE"""),"TP_dKosh_General_SMF1_001")</f>
        <v>TP_dKosh_General_SMF1_001</v>
      </c>
      <c r="C14" s="7">
        <f>IFERROR(__xludf.DUMMYFUNCTION("""COMPUTED_VALUE"""),28.0)</f>
        <v>28</v>
      </c>
      <c r="D14" s="7" t="str">
        <f>IFERROR(__xludf.DUMMYFUNCTION("""COMPUTED_VALUE"""),"Web, Mobile")</f>
        <v>Web, Mobile</v>
      </c>
      <c r="E14" s="7" t="str">
        <f>IFERROR(__xludf.DUMMYFUNCTION("""COMPUTED_VALUE"""),"General")</f>
        <v>General</v>
      </c>
      <c r="F14" s="7" t="str">
        <f>IFERROR(__xludf.DUMMYFUNCTION("""COMPUTED_VALUE"""),"Create Form")</f>
        <v>Create Form</v>
      </c>
      <c r="G14" s="7" t="str">
        <f>IFERROR(__xludf.DUMMYFUNCTION("""COMPUTED_VALUE"""),"A")</f>
        <v>A</v>
      </c>
      <c r="H14" s="7" t="str">
        <f>IFERROR(__xludf.DUMMYFUNCTION("""COMPUTED_VALUE"""),"Aditya")</f>
        <v>Aditya</v>
      </c>
      <c r="I14" s="7" t="str">
        <f>IFERROR(__xludf.DUMMYFUNCTION("""COMPUTED_VALUE"""),"Validation")</f>
        <v>Validation</v>
      </c>
      <c r="J14" s="7" t="str">
        <f>IFERROR(__xludf.DUMMYFUNCTION("""COMPUTED_VALUE"""),"")</f>
        <v/>
      </c>
      <c r="K14" s="7" t="str">
        <f>IFERROR(__xludf.DUMMYFUNCTION("""COMPUTED_VALUE"""),"Verify, Value selection in Response Frequency dropdown is mandatory.")</f>
        <v>Verify, Value selection in Response Frequency dropdown is mandatory.</v>
      </c>
      <c r="L14" s="7" t="str">
        <f>IFERROR(__xludf.DUMMYFUNCTION("""COMPUTED_VALUE"""),"1. Go to manage form list.
2. Click on plus icon.
3. Fill all requied info excluding Response Frequency.")</f>
        <v>1. Go to manage form list.
2. Click on plus icon.
3. Fill all requied info excluding Response Frequency.</v>
      </c>
      <c r="M14" s="7" t="str">
        <f>IFERROR(__xludf.DUMMYFUNCTION("""COMPUTED_VALUE"""),"-Field should be mandatory.
-There should be shown error message 'Please select Response frequency'")</f>
        <v>-Field should be mandatory.
-There should be shown error message 'Please select Response frequency'</v>
      </c>
      <c r="N14" s="7" t="str">
        <f>IFERROR(__xludf.DUMMYFUNCTION("""COMPUTED_VALUE"""),"")</f>
        <v/>
      </c>
      <c r="O14" s="7" t="str">
        <f>IFERROR(__xludf.DUMMYFUNCTION("""COMPUTED_VALUE"""),"Message ""Frequency cannot be blank."" is showing")</f>
        <v>Message "Frequency cannot be blank." is showing</v>
      </c>
      <c r="P14" s="7" t="str">
        <f>IFERROR(__xludf.DUMMYFUNCTION("""COMPUTED_VALUE"""),"Fail")</f>
        <v>Fail</v>
      </c>
      <c r="Q14" s="7" t="str">
        <f>IFERROR(__xludf.DUMMYFUNCTION("""COMPUTED_VALUE"""),"Jaikishan")</f>
        <v>Jaikishan</v>
      </c>
      <c r="R14" s="8">
        <f>IFERROR(__xludf.DUMMYFUNCTION("""COMPUTED_VALUE"""),43784.0)</f>
        <v>43784</v>
      </c>
      <c r="S14" s="7" t="str">
        <f>IFERROR(__xludf.DUMMYFUNCTION("""COMPUTED_VALUE"""),"Response Frequency cannot be blank. should be shown.")</f>
        <v>Response Frequency cannot be blank. should be shown.</v>
      </c>
      <c r="T14" s="9" t="s">
        <v>2</v>
      </c>
      <c r="U14" s="7"/>
      <c r="V14" s="7"/>
      <c r="W14" s="7"/>
      <c r="X14" s="7"/>
      <c r="Y14" s="7"/>
      <c r="Z14" s="7"/>
    </row>
    <row r="15">
      <c r="A15" s="7" t="str">
        <f>IFERROR(__xludf.DUMMYFUNCTION("""COMPUTED_VALUE"""),"TCM_dKosh_General_SMF1_001_038")</f>
        <v>TCM_dKosh_General_SMF1_001_038</v>
      </c>
      <c r="B15" s="7" t="str">
        <f>IFERROR(__xludf.DUMMYFUNCTION("""COMPUTED_VALUE"""),"TP_dKosh_General_SMF1_001")</f>
        <v>TP_dKosh_General_SMF1_001</v>
      </c>
      <c r="C15" s="7">
        <f>IFERROR(__xludf.DUMMYFUNCTION("""COMPUTED_VALUE"""),38.0)</f>
        <v>38</v>
      </c>
      <c r="D15" s="7" t="str">
        <f>IFERROR(__xludf.DUMMYFUNCTION("""COMPUTED_VALUE"""),"Web, Mobile")</f>
        <v>Web, Mobile</v>
      </c>
      <c r="E15" s="7" t="str">
        <f>IFERROR(__xludf.DUMMYFUNCTION("""COMPUTED_VALUE"""),"General")</f>
        <v>General</v>
      </c>
      <c r="F15" s="7" t="str">
        <f>IFERROR(__xludf.DUMMYFUNCTION("""COMPUTED_VALUE"""),"Create Form")</f>
        <v>Create Form</v>
      </c>
      <c r="G15" s="7" t="str">
        <f>IFERROR(__xludf.DUMMYFUNCTION("""COMPUTED_VALUE"""),"M")</f>
        <v>M</v>
      </c>
      <c r="H15" s="7" t="str">
        <f>IFERROR(__xludf.DUMMYFUNCTION("""COMPUTED_VALUE"""),"Jaikishan
")</f>
        <v>Jaikishan
</v>
      </c>
      <c r="I15" s="7" t="str">
        <f>IFERROR(__xludf.DUMMYFUNCTION("""COMPUTED_VALUE"""),"Validation")</f>
        <v>Validation</v>
      </c>
      <c r="J15" s="7" t="str">
        <f>IFERROR(__xludf.DUMMYFUNCTION("""COMPUTED_VALUE"""),"")</f>
        <v/>
      </c>
      <c r="K15" s="7" t="str">
        <f>IFERROR(__xludf.DUMMYFUNCTION("""COMPUTED_VALUE"""),"Verify, post action Select any one radio button of 'Negative Marking?'.")</f>
        <v>Verify, post action Select any one radio button of 'Negative Marking?'.</v>
      </c>
      <c r="L15" s="7" t="str">
        <f>IFERROR(__xludf.DUMMYFUNCTION("""COMPUTED_VALUE"""),"1. Go to manage form list.
2. Click on plus icon.
3. Click on Switch(switch on) of 'Is it a test/quiz?'.
4. Click on Switch on of 'Negative Marking?'.
5. Click on any radio button.")</f>
        <v>1. Go to manage form list.
2. Click on plus icon.
3. Click on Switch(switch on) of 'Is it a test/quiz?'.
4. Click on Switch on of 'Negative Marking?'.
5. Click on any radio button.</v>
      </c>
      <c r="M15" s="7" t="str">
        <f>IFERROR(__xludf.DUMMYFUNCTION("""COMPUTED_VALUE"""),"Text box field should be show in front of In Percent/In Number label.")</f>
        <v>Text box field should be show in front of In Percent/In Number label.</v>
      </c>
      <c r="N15" s="7" t="str">
        <f>IFERROR(__xludf.DUMMYFUNCTION("""COMPUTED_VALUE"""),"")</f>
        <v/>
      </c>
      <c r="O15" s="7" t="str">
        <f>IFERROR(__xludf.DUMMYFUNCTION("""COMPUTED_VALUE"""),"Textbox shown when click on ""Negative marking?""")</f>
        <v>Textbox shown when click on "Negative marking?"</v>
      </c>
      <c r="P15" s="7" t="str">
        <f>IFERROR(__xludf.DUMMYFUNCTION("""COMPUTED_VALUE"""),"Fail")</f>
        <v>Fail</v>
      </c>
      <c r="Q15" s="7" t="str">
        <f>IFERROR(__xludf.DUMMYFUNCTION("""COMPUTED_VALUE"""),"Jaikishan")</f>
        <v>Jaikishan</v>
      </c>
      <c r="R15" s="8">
        <f>IFERROR(__xludf.DUMMYFUNCTION("""COMPUTED_VALUE"""),43784.0)</f>
        <v>43784</v>
      </c>
      <c r="S15" s="7" t="str">
        <f>IFERROR(__xludf.DUMMYFUNCTION("""COMPUTED_VALUE"""),"Without select radio button we can enter value in field.")</f>
        <v>Without select radio button we can enter value in field.</v>
      </c>
      <c r="T15" s="9" t="s">
        <v>2</v>
      </c>
      <c r="U15" s="9" t="s">
        <v>7</v>
      </c>
      <c r="V15" s="7"/>
      <c r="W15" s="7"/>
      <c r="X15" s="7"/>
      <c r="Y15" s="7"/>
      <c r="Z15" s="7"/>
    </row>
    <row r="16">
      <c r="A16" s="7" t="str">
        <f>IFERROR(__xludf.DUMMYFUNCTION("""COMPUTED_VALUE"""),"TCA_dKosh_General_SMF1_002_055")</f>
        <v>TCA_dKosh_General_SMF1_002_055</v>
      </c>
      <c r="B16" s="7" t="str">
        <f>IFERROR(__xludf.DUMMYFUNCTION("""COMPUTED_VALUE"""),"TP_dKosh_General_SMF1_002")</f>
        <v>TP_dKosh_General_SMF1_002</v>
      </c>
      <c r="C16" s="7">
        <f>IFERROR(__xludf.DUMMYFUNCTION("""COMPUTED_VALUE"""),55.0)</f>
        <v>55</v>
      </c>
      <c r="D16" s="7" t="str">
        <f>IFERROR(__xludf.DUMMYFUNCTION("""COMPUTED_VALUE"""),"Web, Mobile")</f>
        <v>Web, Mobile</v>
      </c>
      <c r="E16" s="7" t="str">
        <f>IFERROR(__xludf.DUMMYFUNCTION("""COMPUTED_VALUE"""),"General")</f>
        <v>General</v>
      </c>
      <c r="F16" s="7" t="str">
        <f>IFERROR(__xludf.DUMMYFUNCTION("""COMPUTED_VALUE"""),"Create Form")</f>
        <v>Create Form</v>
      </c>
      <c r="G16" s="7" t="str">
        <f>IFERROR(__xludf.DUMMYFUNCTION("""COMPUTED_VALUE"""),"A")</f>
        <v>A</v>
      </c>
      <c r="H16" s="7" t="str">
        <f>IFERROR(__xludf.DUMMYFUNCTION("""COMPUTED_VALUE"""),"Aditya")</f>
        <v>Aditya</v>
      </c>
      <c r="I16" s="7" t="str">
        <f>IFERROR(__xludf.DUMMYFUNCTION("""COMPUTED_VALUE"""),"Functional")</f>
        <v>Functional</v>
      </c>
      <c r="J16" s="7" t="str">
        <f>IFERROR(__xludf.DUMMYFUNCTION("""COMPUTED_VALUE"""),"")</f>
        <v/>
      </c>
      <c r="K16" s="7" t="str">
        <f>IFERROR(__xludf.DUMMYFUNCTION("""COMPUTED_VALUE"""),"Verify, Post action after click on Create button.")</f>
        <v>Verify, Post action after click on Create button.</v>
      </c>
      <c r="L16" s="7" t="str">
        <f>IFERROR(__xludf.DUMMYFUNCTION("""COMPUTED_VALUE"""),"1. Go to manage form list.
2. Click on plus icon.
3. Fill required info and save.
4. Go to setting page.
5. Open create form's status window.")</f>
        <v>1. Go to manage form list.
2. Click on plus icon.
3. Fill required info and save.
4. Go to setting page.
5. Open create form's status window.</v>
      </c>
      <c r="M16" s="7" t="str">
        <f>IFERROR(__xludf.DUMMYFUNCTION("""COMPUTED_VALUE"""),"""Modify Form"" page should be visible.
")</f>
        <v>"Modify Form" page should be visible.
</v>
      </c>
      <c r="N16" s="7" t="str">
        <f>IFERROR(__xludf.DUMMYFUNCTION("""COMPUTED_VALUE"""),"")</f>
        <v/>
      </c>
      <c r="O16" s="7" t="str">
        <f>IFERROR(__xludf.DUMMYFUNCTION("""COMPUTED_VALUE"""),"""Update Form"" page is showing.")</f>
        <v>"Update Form" page is showing.</v>
      </c>
      <c r="P16" s="7" t="str">
        <f>IFERROR(__xludf.DUMMYFUNCTION("""COMPUTED_VALUE"""),"Fail")</f>
        <v>Fail</v>
      </c>
      <c r="Q16" s="7" t="str">
        <f>IFERROR(__xludf.DUMMYFUNCTION("""COMPUTED_VALUE"""),"Jaikishan")</f>
        <v>Jaikishan</v>
      </c>
      <c r="R16" s="8">
        <f>IFERROR(__xludf.DUMMYFUNCTION("""COMPUTED_VALUE"""),43784.0)</f>
        <v>43784</v>
      </c>
      <c r="S16" s="7" t="str">
        <f>IFERROR(__xludf.DUMMYFUNCTION("""COMPUTED_VALUE"""),"UI - Bug")</f>
        <v>UI - Bug</v>
      </c>
      <c r="T16" s="9" t="s">
        <v>2</v>
      </c>
      <c r="U16" s="7"/>
      <c r="V16" s="7"/>
      <c r="W16" s="7"/>
      <c r="X16" s="7"/>
      <c r="Y16" s="7"/>
      <c r="Z16" s="7"/>
    </row>
    <row r="17">
      <c r="A17" s="7" t="str">
        <f>IFERROR(__xludf.DUMMYFUNCTION("""COMPUTED_VALUE"""),"TCA_dKosh_General_SMF1_002_056")</f>
        <v>TCA_dKosh_General_SMF1_002_056</v>
      </c>
      <c r="B17" s="7" t="str">
        <f>IFERROR(__xludf.DUMMYFUNCTION("""COMPUTED_VALUE"""),"TP_dKosh_General_SMF1_002")</f>
        <v>TP_dKosh_General_SMF1_002</v>
      </c>
      <c r="C17" s="7">
        <f>IFERROR(__xludf.DUMMYFUNCTION("""COMPUTED_VALUE"""),56.0)</f>
        <v>56</v>
      </c>
      <c r="D17" s="7" t="str">
        <f>IFERROR(__xludf.DUMMYFUNCTION("""COMPUTED_VALUE"""),"Web, Mobile")</f>
        <v>Web, Mobile</v>
      </c>
      <c r="E17" s="7" t="str">
        <f>IFERROR(__xludf.DUMMYFUNCTION("""COMPUTED_VALUE"""),"General")</f>
        <v>General</v>
      </c>
      <c r="F17" s="7" t="str">
        <f>IFERROR(__xludf.DUMMYFUNCTION("""COMPUTED_VALUE"""),"Create Form")</f>
        <v>Create Form</v>
      </c>
      <c r="G17" s="7" t="str">
        <f>IFERROR(__xludf.DUMMYFUNCTION("""COMPUTED_VALUE"""),"A")</f>
        <v>A</v>
      </c>
      <c r="H17" s="7" t="str">
        <f>IFERROR(__xludf.DUMMYFUNCTION("""COMPUTED_VALUE"""),"Aditya")</f>
        <v>Aditya</v>
      </c>
      <c r="I17" s="7" t="str">
        <f>IFERROR(__xludf.DUMMYFUNCTION("""COMPUTED_VALUE"""),"Functional")</f>
        <v>Functional</v>
      </c>
      <c r="J17" s="7" t="str">
        <f>IFERROR(__xludf.DUMMYFUNCTION("""COMPUTED_VALUE"""),"")</f>
        <v/>
      </c>
      <c r="K17" s="7" t="str">
        <f>IFERROR(__xludf.DUMMYFUNCTION("""COMPUTED_VALUE"""),"Verify, Form create with duplicate name.")</f>
        <v>Verify, Form create with duplicate name.</v>
      </c>
      <c r="L17" s="7" t="str">
        <f>IFERROR(__xludf.DUMMYFUNCTION("""COMPUTED_VALUE"""),"")</f>
        <v/>
      </c>
      <c r="M17" s="7" t="str">
        <f>IFERROR(__xludf.DUMMYFUNCTION("""COMPUTED_VALUE"""),"Form name should be uniquie")</f>
        <v>Form name should be uniquie</v>
      </c>
      <c r="N17" s="7" t="str">
        <f>IFERROR(__xludf.DUMMYFUNCTION("""COMPUTED_VALUE"""),"In Requirement sheet ""Form name must be unique""")</f>
        <v>In Requirement sheet "Form name must be unique"</v>
      </c>
      <c r="O17" s="7" t="str">
        <f>IFERROR(__xludf.DUMMYFUNCTION("""COMPUTED_VALUE"""),"Form name not unique")</f>
        <v>Form name not unique</v>
      </c>
      <c r="P17" s="7" t="str">
        <f>IFERROR(__xludf.DUMMYFUNCTION("""COMPUTED_VALUE"""),"Fail")</f>
        <v>Fail</v>
      </c>
      <c r="Q17" s="7" t="str">
        <f>IFERROR(__xludf.DUMMYFUNCTION("""COMPUTED_VALUE"""),"Jaikishan")</f>
        <v>Jaikishan</v>
      </c>
      <c r="R17" s="8">
        <f>IFERROR(__xludf.DUMMYFUNCTION("""COMPUTED_VALUE"""),43784.0)</f>
        <v>43784</v>
      </c>
      <c r="S17" s="7" t="str">
        <f>IFERROR(__xludf.DUMMYFUNCTION("""COMPUTED_VALUE"""),"Functional bug")</f>
        <v>Functional bug</v>
      </c>
      <c r="T17" s="7"/>
      <c r="U17" s="7"/>
      <c r="V17" s="7"/>
      <c r="W17" s="7"/>
      <c r="X17" s="7"/>
      <c r="Y17" s="7"/>
      <c r="Z17" s="7"/>
    </row>
    <row r="18">
      <c r="A18" s="7" t="str">
        <f>IFERROR(__xludf.DUMMYFUNCTION("""COMPUTED_VALUE"""),"TCM_dKosh_General_SMF1_002_058")</f>
        <v>TCM_dKosh_General_SMF1_002_058</v>
      </c>
      <c r="B18" s="7" t="str">
        <f>IFERROR(__xludf.DUMMYFUNCTION("""COMPUTED_VALUE"""),"TP_dKosh_General_SMF1_002")</f>
        <v>TP_dKosh_General_SMF1_002</v>
      </c>
      <c r="C18" s="7">
        <f>IFERROR(__xludf.DUMMYFUNCTION("""COMPUTED_VALUE"""),58.0)</f>
        <v>58</v>
      </c>
      <c r="D18" s="7" t="str">
        <f>IFERROR(__xludf.DUMMYFUNCTION("""COMPUTED_VALUE"""),"Web, Mobile")</f>
        <v>Web, Mobile</v>
      </c>
      <c r="E18" s="7" t="str">
        <f>IFERROR(__xludf.DUMMYFUNCTION("""COMPUTED_VALUE"""),"General")</f>
        <v>General</v>
      </c>
      <c r="F18" s="7" t="str">
        <f>IFERROR(__xludf.DUMMYFUNCTION("""COMPUTED_VALUE"""),"Create Form")</f>
        <v>Create Form</v>
      </c>
      <c r="G18" s="7" t="str">
        <f>IFERROR(__xludf.DUMMYFUNCTION("""COMPUTED_VALUE"""),"M")</f>
        <v>M</v>
      </c>
      <c r="H18" s="7" t="str">
        <f>IFERROR(__xludf.DUMMYFUNCTION("""COMPUTED_VALUE"""),"Aditya")</f>
        <v>Aditya</v>
      </c>
      <c r="I18" s="7" t="str">
        <f>IFERROR(__xludf.DUMMYFUNCTION("""COMPUTED_VALUE"""),"Functional")</f>
        <v>Functional</v>
      </c>
      <c r="J18" s="7" t="str">
        <f>IFERROR(__xludf.DUMMYFUNCTION("""COMPUTED_VALUE"""),"")</f>
        <v/>
      </c>
      <c r="K18" s="7" t="str">
        <f>IFERROR(__xludf.DUMMYFUNCTION("""COMPUTED_VALUE"""),"Verify, post action after switch on of  'Link to another app'.")</f>
        <v>Verify, post action after switch on of  'Link to another app'.</v>
      </c>
      <c r="L18" s="7" t="str">
        <f>IFERROR(__xludf.DUMMYFUNCTION("""COMPUTED_VALUE"""),"1. Go to manage form list.
2. Click on plus icon.
3. Switch on of 'Link to another app'.")</f>
        <v>1. Go to manage form list.
2. Click on plus icon.
3. Switch on of 'Link to another app'.</v>
      </c>
      <c r="M18" s="7" t="str">
        <f>IFERROR(__xludf.DUMMYFUNCTION("""COMPUTED_VALUE"""),"Respondent can not directly open this form from dKOSH, it will be open through dependent app(Linked app).")</f>
        <v>Respondent can not directly open this form from dKOSH, it will be open through dependent app(Linked app).</v>
      </c>
      <c r="N18" s="7" t="str">
        <f>IFERROR(__xludf.DUMMYFUNCTION("""COMPUTED_VALUE"""),"")</f>
        <v/>
      </c>
      <c r="O18" s="7" t="str">
        <f>IFERROR(__xludf.DUMMYFUNCTION("""COMPUTED_VALUE"""),"")</f>
        <v/>
      </c>
      <c r="P18" s="7" t="str">
        <f>IFERROR(__xludf.DUMMYFUNCTION("""COMPUTED_VALUE"""),"?")</f>
        <v>?</v>
      </c>
      <c r="Q18" s="7" t="str">
        <f>IFERROR(__xludf.DUMMYFUNCTION("""COMPUTED_VALUE"""),"")</f>
        <v/>
      </c>
      <c r="R18" s="8" t="str">
        <f>IFERROR(__xludf.DUMMYFUNCTION("""COMPUTED_VALUE"""),"")</f>
        <v/>
      </c>
      <c r="S18" s="7" t="str">
        <f>IFERROR(__xludf.DUMMYFUNCTION("""COMPUTED_VALUE"""),"")</f>
        <v/>
      </c>
      <c r="T18" s="7"/>
      <c r="U18" s="7"/>
      <c r="V18" s="7"/>
      <c r="W18" s="7"/>
      <c r="X18" s="7"/>
      <c r="Y18" s="7"/>
      <c r="Z18" s="7"/>
    </row>
    <row r="19">
      <c r="A19" s="7" t="str">
        <f>IFERROR(__xludf.DUMMYFUNCTION("""COMPUTED_VALUE"""),"TCM_dKosh_General_SMF1_002_059")</f>
        <v>TCM_dKosh_General_SMF1_002_059</v>
      </c>
      <c r="B19" s="7" t="str">
        <f>IFERROR(__xludf.DUMMYFUNCTION("""COMPUTED_VALUE"""),"TP_dKosh_General_SMF1_002")</f>
        <v>TP_dKosh_General_SMF1_002</v>
      </c>
      <c r="C19" s="7">
        <f>IFERROR(__xludf.DUMMYFUNCTION("""COMPUTED_VALUE"""),59.0)</f>
        <v>59</v>
      </c>
      <c r="D19" s="7" t="str">
        <f>IFERROR(__xludf.DUMMYFUNCTION("""COMPUTED_VALUE"""),"Web, Mobile")</f>
        <v>Web, Mobile</v>
      </c>
      <c r="E19" s="7" t="str">
        <f>IFERROR(__xludf.DUMMYFUNCTION("""COMPUTED_VALUE"""),"General")</f>
        <v>General</v>
      </c>
      <c r="F19" s="7" t="str">
        <f>IFERROR(__xludf.DUMMYFUNCTION("""COMPUTED_VALUE"""),"Create Form")</f>
        <v>Create Form</v>
      </c>
      <c r="G19" s="7" t="str">
        <f>IFERROR(__xludf.DUMMYFUNCTION("""COMPUTED_VALUE"""),"M")</f>
        <v>M</v>
      </c>
      <c r="H19" s="7" t="str">
        <f>IFERROR(__xludf.DUMMYFUNCTION("""COMPUTED_VALUE"""),"Aditya")</f>
        <v>Aditya</v>
      </c>
      <c r="I19" s="7" t="str">
        <f>IFERROR(__xludf.DUMMYFUNCTION("""COMPUTED_VALUE"""),"Functional")</f>
        <v>Functional</v>
      </c>
      <c r="J19" s="7" t="str">
        <f>IFERROR(__xludf.DUMMYFUNCTION("""COMPUTED_VALUE"""),"")</f>
        <v/>
      </c>
      <c r="K19" s="7" t="str">
        <f>IFERROR(__xludf.DUMMYFUNCTION("""COMPUTED_VALUE"""),"Verify, post action after switch on of  'Is it a test/quiz?'.")</f>
        <v>Verify, post action after switch on of  'Is it a test/quiz?'.</v>
      </c>
      <c r="L19" s="7" t="str">
        <f>IFERROR(__xludf.DUMMYFUNCTION("""COMPUTED_VALUE"""),"1. Go to manage form list.
2. Click on plus icon.
3. Click on Switch(switced on) of 'Is it a test/quiz?'.")</f>
        <v>1. Go to manage form list.
2. Click on plus icon.
3. Click on Switch(switced on) of 'Is it a test/quiz?'.</v>
      </c>
      <c r="M19" s="7" t="str">
        <f>IFERROR(__xludf.DUMMYFUNCTION("""COMPUTED_VALUE"""),"If yes, then on page Modify form (Create question page) Score and correct answer fields will be visible otherwise not.")</f>
        <v>If yes, then on page Modify form (Create question page) Score and correct answer fields will be visible otherwise not.</v>
      </c>
      <c r="N19" s="7" t="str">
        <f>IFERROR(__xludf.DUMMYFUNCTION("""COMPUTED_VALUE"""),"")</f>
        <v/>
      </c>
      <c r="O19" s="7" t="str">
        <f>IFERROR(__xludf.DUMMYFUNCTION("""COMPUTED_VALUE"""),"")</f>
        <v/>
      </c>
      <c r="P19" s="7" t="str">
        <f>IFERROR(__xludf.DUMMYFUNCTION("""COMPUTED_VALUE"""),"?")</f>
        <v>?</v>
      </c>
      <c r="Q19" s="7" t="str">
        <f>IFERROR(__xludf.DUMMYFUNCTION("""COMPUTED_VALUE"""),"")</f>
        <v/>
      </c>
      <c r="R19" s="8" t="str">
        <f>IFERROR(__xludf.DUMMYFUNCTION("""COMPUTED_VALUE"""),"")</f>
        <v/>
      </c>
      <c r="S19" s="7" t="str">
        <f>IFERROR(__xludf.DUMMYFUNCTION("""COMPUTED_VALUE"""),"")</f>
        <v/>
      </c>
      <c r="T19" s="7"/>
      <c r="U19" s="7"/>
      <c r="V19" s="7"/>
      <c r="W19" s="7"/>
      <c r="X19" s="7"/>
      <c r="Y19" s="7"/>
      <c r="Z19" s="7"/>
    </row>
    <row r="20">
      <c r="A20" s="7" t="str">
        <f>IFERROR(__xludf.DUMMYFUNCTION("""COMPUTED_VALUE"""),"TCM_dKosh_General_SMF1_002_063")</f>
        <v>TCM_dKosh_General_SMF1_002_063</v>
      </c>
      <c r="B20" s="7" t="str">
        <f>IFERROR(__xludf.DUMMYFUNCTION("""COMPUTED_VALUE"""),"TP_dKosh_General_SMF1_002")</f>
        <v>TP_dKosh_General_SMF1_002</v>
      </c>
      <c r="C20" s="7">
        <f>IFERROR(__xludf.DUMMYFUNCTION("""COMPUTED_VALUE"""),63.0)</f>
        <v>63</v>
      </c>
      <c r="D20" s="7" t="str">
        <f>IFERROR(__xludf.DUMMYFUNCTION("""COMPUTED_VALUE"""),"Web, Mobile")</f>
        <v>Web, Mobile</v>
      </c>
      <c r="E20" s="7" t="str">
        <f>IFERROR(__xludf.DUMMYFUNCTION("""COMPUTED_VALUE"""),"General")</f>
        <v>General</v>
      </c>
      <c r="F20" s="7" t="str">
        <f>IFERROR(__xludf.DUMMYFUNCTION("""COMPUTED_VALUE"""),"Create Form")</f>
        <v>Create Form</v>
      </c>
      <c r="G20" s="7" t="str">
        <f>IFERROR(__xludf.DUMMYFUNCTION("""COMPUTED_VALUE"""),"M")</f>
        <v>M</v>
      </c>
      <c r="H20" s="7" t="str">
        <f>IFERROR(__xludf.DUMMYFUNCTION("""COMPUTED_VALUE"""),"Aditya")</f>
        <v>Aditya</v>
      </c>
      <c r="I20" s="7" t="str">
        <f>IFERROR(__xludf.DUMMYFUNCTION("""COMPUTED_VALUE"""),"Functional")</f>
        <v>Functional</v>
      </c>
      <c r="J20" s="7" t="str">
        <f>IFERROR(__xludf.DUMMYFUNCTION("""COMPUTED_VALUE"""),"")</f>
        <v/>
      </c>
      <c r="K20" s="7" t="str">
        <f>IFERROR(__xludf.DUMMYFUNCTION("""COMPUTED_VALUE"""),"Verify, post action after switch on of  'Notify owner on response submission?'.")</f>
        <v>Verify, post action after switch on of  'Notify owner on response submission?'.</v>
      </c>
      <c r="L20" s="7" t="str">
        <f>IFERROR(__xludf.DUMMYFUNCTION("""COMPUTED_VALUE"""),"1. Go to manage form list.
2. Click on plus icon.
3. Switch on of ''Notify owner on response submission?'.")</f>
        <v>1. Go to manage form list.
2. Click on plus icon.
3. Switch on of ''Notify owner on response submission?'.</v>
      </c>
      <c r="M20" s="7" t="str">
        <f>IFERROR(__xludf.DUMMYFUNCTION("""COMPUTED_VALUE"""),"If yes, then notify owner via SMS/notification/email on form submission.")</f>
        <v>If yes, then notify owner via SMS/notification/email on form submission.</v>
      </c>
      <c r="N20" s="7" t="str">
        <f>IFERROR(__xludf.DUMMYFUNCTION("""COMPUTED_VALUE"""),"")</f>
        <v/>
      </c>
      <c r="O20" s="7" t="str">
        <f>IFERROR(__xludf.DUMMYFUNCTION("""COMPUTED_VALUE"""),"")</f>
        <v/>
      </c>
      <c r="P20" s="7" t="str">
        <f>IFERROR(__xludf.DUMMYFUNCTION("""COMPUTED_VALUE"""),"?")</f>
        <v>?</v>
      </c>
      <c r="Q20" s="7" t="str">
        <f>IFERROR(__xludf.DUMMYFUNCTION("""COMPUTED_VALUE"""),"")</f>
        <v/>
      </c>
      <c r="R20" s="8" t="str">
        <f>IFERROR(__xludf.DUMMYFUNCTION("""COMPUTED_VALUE"""),"")</f>
        <v/>
      </c>
      <c r="S20" s="7" t="str">
        <f>IFERROR(__xludf.DUMMYFUNCTION("""COMPUTED_VALUE"""),"")</f>
        <v/>
      </c>
      <c r="T20" s="7"/>
      <c r="U20" s="7"/>
      <c r="V20" s="7"/>
      <c r="W20" s="7"/>
      <c r="X20" s="7"/>
      <c r="Y20" s="7"/>
      <c r="Z20" s="7"/>
    </row>
    <row r="21">
      <c r="A21" s="7" t="str">
        <f>IFERROR(__xludf.DUMMYFUNCTION("""COMPUTED_VALUE"""),"TCM_dKosh_General_SMF1_002_064")</f>
        <v>TCM_dKosh_General_SMF1_002_064</v>
      </c>
      <c r="B21" s="7" t="str">
        <f>IFERROR(__xludf.DUMMYFUNCTION("""COMPUTED_VALUE"""),"TP_dKosh_General_SMF1_002")</f>
        <v>TP_dKosh_General_SMF1_002</v>
      </c>
      <c r="C21" s="7">
        <f>IFERROR(__xludf.DUMMYFUNCTION("""COMPUTED_VALUE"""),64.0)</f>
        <v>64</v>
      </c>
      <c r="D21" s="7" t="str">
        <f>IFERROR(__xludf.DUMMYFUNCTION("""COMPUTED_VALUE"""),"Web, Mobile")</f>
        <v>Web, Mobile</v>
      </c>
      <c r="E21" s="7" t="str">
        <f>IFERROR(__xludf.DUMMYFUNCTION("""COMPUTED_VALUE"""),"General")</f>
        <v>General</v>
      </c>
      <c r="F21" s="7" t="str">
        <f>IFERROR(__xludf.DUMMYFUNCTION("""COMPUTED_VALUE"""),"Create Form")</f>
        <v>Create Form</v>
      </c>
      <c r="G21" s="7" t="str">
        <f>IFERROR(__xludf.DUMMYFUNCTION("""COMPUTED_VALUE"""),"M")</f>
        <v>M</v>
      </c>
      <c r="H21" s="7" t="str">
        <f>IFERROR(__xludf.DUMMYFUNCTION("""COMPUTED_VALUE"""),"Aditya")</f>
        <v>Aditya</v>
      </c>
      <c r="I21" s="7" t="str">
        <f>IFERROR(__xludf.DUMMYFUNCTION("""COMPUTED_VALUE"""),"Functional")</f>
        <v>Functional</v>
      </c>
      <c r="J21" s="7" t="str">
        <f>IFERROR(__xludf.DUMMYFUNCTION("""COMPUTED_VALUE"""),"")</f>
        <v/>
      </c>
      <c r="K21" s="7" t="str">
        <f>IFERROR(__xludf.DUMMYFUNCTION("""COMPUTED_VALUE"""),"Verify, post action after switch on of  'Notify approver on response submission?'.")</f>
        <v>Verify, post action after switch on of  'Notify approver on response submission?'.</v>
      </c>
      <c r="L21" s="7" t="str">
        <f>IFERROR(__xludf.DUMMYFUNCTION("""COMPUTED_VALUE"""),"1. Go to manage form list.
2. Click on plus icon.
3. Switch on of 'Notify approver on response submission?'.")</f>
        <v>1. Go to manage form list.
2. Click on plus icon.
3. Switch on of 'Notify approver on response submission?'.</v>
      </c>
      <c r="M21" s="7" t="str">
        <f>IFERROR(__xludf.DUMMYFUNCTION("""COMPUTED_VALUE"""),"If yes, then notify respondent via SMS/notification/email on form approval.")</f>
        <v>If yes, then notify respondent via SMS/notification/email on form approval.</v>
      </c>
      <c r="N21" s="7" t="str">
        <f>IFERROR(__xludf.DUMMYFUNCTION("""COMPUTED_VALUE"""),"")</f>
        <v/>
      </c>
      <c r="O21" s="7" t="str">
        <f>IFERROR(__xludf.DUMMYFUNCTION("""COMPUTED_VALUE"""),"")</f>
        <v/>
      </c>
      <c r="P21" s="7" t="str">
        <f>IFERROR(__xludf.DUMMYFUNCTION("""COMPUTED_VALUE"""),"?")</f>
        <v>?</v>
      </c>
      <c r="Q21" s="7" t="str">
        <f>IFERROR(__xludf.DUMMYFUNCTION("""COMPUTED_VALUE"""),"")</f>
        <v/>
      </c>
      <c r="R21" s="8" t="str">
        <f>IFERROR(__xludf.DUMMYFUNCTION("""COMPUTED_VALUE"""),"")</f>
        <v/>
      </c>
      <c r="S21" s="7" t="str">
        <f>IFERROR(__xludf.DUMMYFUNCTION("""COMPUTED_VALUE"""),"")</f>
        <v/>
      </c>
      <c r="T21" s="7"/>
      <c r="U21" s="7"/>
      <c r="V21" s="7"/>
      <c r="W21" s="7"/>
      <c r="X21" s="7"/>
      <c r="Y21" s="7"/>
      <c r="Z21" s="7"/>
    </row>
    <row r="22">
      <c r="A22" s="7" t="str">
        <f>IFERROR(__xludf.DUMMYFUNCTION("""COMPUTED_VALUE"""),"TCM_dKosh_General_SMF1_002_065")</f>
        <v>TCM_dKosh_General_SMF1_002_065</v>
      </c>
      <c r="B22" s="7" t="str">
        <f>IFERROR(__xludf.DUMMYFUNCTION("""COMPUTED_VALUE"""),"TP_dKosh_General_SMF1_002")</f>
        <v>TP_dKosh_General_SMF1_002</v>
      </c>
      <c r="C22" s="7">
        <f>IFERROR(__xludf.DUMMYFUNCTION("""COMPUTED_VALUE"""),65.0)</f>
        <v>65</v>
      </c>
      <c r="D22" s="7" t="str">
        <f>IFERROR(__xludf.DUMMYFUNCTION("""COMPUTED_VALUE"""),"Web, Mobile")</f>
        <v>Web, Mobile</v>
      </c>
      <c r="E22" s="7" t="str">
        <f>IFERROR(__xludf.DUMMYFUNCTION("""COMPUTED_VALUE"""),"General")</f>
        <v>General</v>
      </c>
      <c r="F22" s="7" t="str">
        <f>IFERROR(__xludf.DUMMYFUNCTION("""COMPUTED_VALUE"""),"Create Form")</f>
        <v>Create Form</v>
      </c>
      <c r="G22" s="7" t="str">
        <f>IFERROR(__xludf.DUMMYFUNCTION("""COMPUTED_VALUE"""),"M")</f>
        <v>M</v>
      </c>
      <c r="H22" s="7" t="str">
        <f>IFERROR(__xludf.DUMMYFUNCTION("""COMPUTED_VALUE"""),"Aditya")</f>
        <v>Aditya</v>
      </c>
      <c r="I22" s="7" t="str">
        <f>IFERROR(__xludf.DUMMYFUNCTION("""COMPUTED_VALUE"""),"Functional")</f>
        <v>Functional</v>
      </c>
      <c r="J22" s="7" t="str">
        <f>IFERROR(__xludf.DUMMYFUNCTION("""COMPUTED_VALUE"""),"")</f>
        <v/>
      </c>
      <c r="K22" s="7" t="str">
        <f>IFERROR(__xludf.DUMMYFUNCTION("""COMPUTED_VALUE"""),"Verify, post action after switch on of  'Notify respondent on response submission?'.")</f>
        <v>Verify, post action after switch on of  'Notify respondent on response submission?'.</v>
      </c>
      <c r="L22" s="7" t="str">
        <f>IFERROR(__xludf.DUMMYFUNCTION("""COMPUTED_VALUE"""),"1. Go to manage form list.
2. Click on plus icon.
3. Switch on of 'Notify respondent on response submission?'.")</f>
        <v>1. Go to manage form list.
2. Click on plus icon.
3. Switch on of 'Notify respondent on response submission?'.</v>
      </c>
      <c r="M22" s="7" t="str">
        <f>IFERROR(__xludf.DUMMYFUNCTION("""COMPUTED_VALUE"""),"If yes, then notify respondent via SMS/notification/email on form submission.")</f>
        <v>If yes, then notify respondent via SMS/notification/email on form submission.</v>
      </c>
      <c r="N22" s="7" t="str">
        <f>IFERROR(__xludf.DUMMYFUNCTION("""COMPUTED_VALUE"""),"")</f>
        <v/>
      </c>
      <c r="O22" s="7" t="str">
        <f>IFERROR(__xludf.DUMMYFUNCTION("""COMPUTED_VALUE"""),"")</f>
        <v/>
      </c>
      <c r="P22" s="7" t="str">
        <f>IFERROR(__xludf.DUMMYFUNCTION("""COMPUTED_VALUE"""),"?")</f>
        <v>?</v>
      </c>
      <c r="Q22" s="7" t="str">
        <f>IFERROR(__xludf.DUMMYFUNCTION("""COMPUTED_VALUE"""),"")</f>
        <v/>
      </c>
      <c r="R22" s="8" t="str">
        <f>IFERROR(__xludf.DUMMYFUNCTION("""COMPUTED_VALUE"""),"")</f>
        <v/>
      </c>
      <c r="S22" s="7" t="str">
        <f>IFERROR(__xludf.DUMMYFUNCTION("""COMPUTED_VALUE"""),"")</f>
        <v/>
      </c>
      <c r="T22" s="7"/>
      <c r="U22" s="7"/>
      <c r="V22" s="7"/>
      <c r="W22" s="7"/>
      <c r="X22" s="7"/>
      <c r="Y22" s="7"/>
      <c r="Z22" s="7"/>
    </row>
    <row r="23">
      <c r="A23" s="7" t="str">
        <f>IFERROR(__xludf.DUMMYFUNCTION("""COMPUTED_VALUE"""),"TCM_dKosh_General_SMF1_002_067")</f>
        <v>TCM_dKosh_General_SMF1_002_067</v>
      </c>
      <c r="B23" s="7" t="str">
        <f>IFERROR(__xludf.DUMMYFUNCTION("""COMPUTED_VALUE"""),"TP_dKosh_General_SMF1_002")</f>
        <v>TP_dKosh_General_SMF1_002</v>
      </c>
      <c r="C23" s="7">
        <f>IFERROR(__xludf.DUMMYFUNCTION("""COMPUTED_VALUE"""),67.0)</f>
        <v>67</v>
      </c>
      <c r="D23" s="7" t="str">
        <f>IFERROR(__xludf.DUMMYFUNCTION("""COMPUTED_VALUE"""),"Web, Mobile")</f>
        <v>Web, Mobile</v>
      </c>
      <c r="E23" s="7" t="str">
        <f>IFERROR(__xludf.DUMMYFUNCTION("""COMPUTED_VALUE"""),"General")</f>
        <v>General</v>
      </c>
      <c r="F23" s="7" t="str">
        <f>IFERROR(__xludf.DUMMYFUNCTION("""COMPUTED_VALUE"""),"Create Form")</f>
        <v>Create Form</v>
      </c>
      <c r="G23" s="7" t="str">
        <f>IFERROR(__xludf.DUMMYFUNCTION("""COMPUTED_VALUE"""),"M")</f>
        <v>M</v>
      </c>
      <c r="H23" s="7" t="str">
        <f>IFERROR(__xludf.DUMMYFUNCTION("""COMPUTED_VALUE"""),"Jaikishan
")</f>
        <v>Jaikishan
</v>
      </c>
      <c r="I23" s="7" t="str">
        <f>IFERROR(__xludf.DUMMYFUNCTION("""COMPUTED_VALUE"""),"Functional")</f>
        <v>Functional</v>
      </c>
      <c r="J23" s="7" t="str">
        <f>IFERROR(__xludf.DUMMYFUNCTION("""COMPUTED_VALUE"""),"")</f>
        <v/>
      </c>
      <c r="K23" s="7" t="str">
        <f>IFERROR(__xludf.DUMMYFUNCTION("""COMPUTED_VALUE"""),"Verify, post action Select any one radio button of 'Negative Marking?'.")</f>
        <v>Verify, post action Select any one radio button of 'Negative Marking?'.</v>
      </c>
      <c r="L23" s="7" t="str">
        <f>IFERROR(__xludf.DUMMYFUNCTION("""COMPUTED_VALUE"""),"1. Go to manage form list.
2. Click on plus icon.
3. Click on Switch(switch on) of 'Is it a test/quiz?'.
4. Click on Switch on of 'Negative Marking?'.
5. Click on any radio button.")</f>
        <v>1. Go to manage form list.
2. Click on plus icon.
3. Click on Switch(switch on) of 'Is it a test/quiz?'.
4. Click on Switch on of 'Negative Marking?'.
5. Click on any radio button.</v>
      </c>
      <c r="M23" s="7" t="str">
        <f>IFERROR(__xludf.DUMMYFUNCTION("""COMPUTED_VALUE"""),"Text box field should be show in front of In Percent/In Number label.")</f>
        <v>Text box field should be show in front of In Percent/In Number label.</v>
      </c>
      <c r="N23" s="7" t="str">
        <f>IFERROR(__xludf.DUMMYFUNCTION("""COMPUTED_VALUE"""),"")</f>
        <v/>
      </c>
      <c r="O23" s="7" t="str">
        <f>IFERROR(__xludf.DUMMYFUNCTION("""COMPUTED_VALUE"""),"Textbox shown when click on ""Negative marking?""")</f>
        <v>Textbox shown when click on "Negative marking?"</v>
      </c>
      <c r="P23" s="7" t="str">
        <f>IFERROR(__xludf.DUMMYFUNCTION("""COMPUTED_VALUE"""),"Fail")</f>
        <v>Fail</v>
      </c>
      <c r="Q23" s="7" t="str">
        <f>IFERROR(__xludf.DUMMYFUNCTION("""COMPUTED_VALUE"""),"Jaikishan")</f>
        <v>Jaikishan</v>
      </c>
      <c r="R23" s="8">
        <f>IFERROR(__xludf.DUMMYFUNCTION("""COMPUTED_VALUE"""),43784.0)</f>
        <v>43784</v>
      </c>
      <c r="S23" s="7" t="str">
        <f>IFERROR(__xludf.DUMMYFUNCTION("""COMPUTED_VALUE"""),"Without select radio button we can enter value in field.")</f>
        <v>Without select radio button we can enter value in field.</v>
      </c>
      <c r="T23" s="7"/>
      <c r="U23" s="7"/>
      <c r="V23" s="7"/>
      <c r="W23" s="7"/>
      <c r="X23" s="7"/>
      <c r="Y23" s="7"/>
      <c r="Z23" s="7"/>
    </row>
    <row r="24">
      <c r="A24" s="7" t="str">
        <f>IFERROR(__xludf.DUMMYFUNCTION("""COMPUTED_VALUE"""),"TCM_dKosh_General_SMF1_002_071")</f>
        <v>TCM_dKosh_General_SMF1_002_071</v>
      </c>
      <c r="B24" s="7" t="str">
        <f>IFERROR(__xludf.DUMMYFUNCTION("""COMPUTED_VALUE"""),"TP_dKosh_General_SMF1_002")</f>
        <v>TP_dKosh_General_SMF1_002</v>
      </c>
      <c r="C24" s="7">
        <f>IFERROR(__xludf.DUMMYFUNCTION("""COMPUTED_VALUE"""),71.0)</f>
        <v>71</v>
      </c>
      <c r="D24" s="7" t="str">
        <f>IFERROR(__xludf.DUMMYFUNCTION("""COMPUTED_VALUE"""),"Web, Mobile")</f>
        <v>Web, Mobile</v>
      </c>
      <c r="E24" s="7" t="str">
        <f>IFERROR(__xludf.DUMMYFUNCTION("""COMPUTED_VALUE"""),"General")</f>
        <v>General</v>
      </c>
      <c r="F24" s="7" t="str">
        <f>IFERROR(__xludf.DUMMYFUNCTION("""COMPUTED_VALUE"""),"Create Form")</f>
        <v>Create Form</v>
      </c>
      <c r="G24" s="7" t="str">
        <f>IFERROR(__xludf.DUMMYFUNCTION("""COMPUTED_VALUE"""),"M")</f>
        <v>M</v>
      </c>
      <c r="H24" s="7" t="str">
        <f>IFERROR(__xludf.DUMMYFUNCTION("""COMPUTED_VALUE"""),"Aditya")</f>
        <v>Aditya</v>
      </c>
      <c r="I24" s="7" t="str">
        <f>IFERROR(__xludf.DUMMYFUNCTION("""COMPUTED_VALUE"""),"Functional")</f>
        <v>Functional</v>
      </c>
      <c r="J24" s="7" t="str">
        <f>IFERROR(__xludf.DUMMYFUNCTION("""COMPUTED_VALUE"""),"")</f>
        <v/>
      </c>
      <c r="K24" s="7" t="str">
        <f>IFERROR(__xludf.DUMMYFUNCTION("""COMPUTED_VALUE"""),"Verify, post action after switch on of  'Notify owner on response submission?'.")</f>
        <v>Verify, post action after switch on of  'Notify owner on response submission?'.</v>
      </c>
      <c r="L24" s="7" t="str">
        <f>IFERROR(__xludf.DUMMYFUNCTION("""COMPUTED_VALUE"""),"1. Go to manage form list.
2. Click on plus icon.
3. Switch on of ''Notify owner on response submission?'.")</f>
        <v>1. Go to manage form list.
2. Click on plus icon.
3. Switch on of ''Notify owner on response submission?'.</v>
      </c>
      <c r="M24" s="7" t="str">
        <f>IFERROR(__xludf.DUMMYFUNCTION("""COMPUTED_VALUE"""),"If yes, then notify owner via SMS/notification/email on form submission.")</f>
        <v>If yes, then notify owner via SMS/notification/email on form submission.</v>
      </c>
      <c r="N24" s="7" t="str">
        <f>IFERROR(__xludf.DUMMYFUNCTION("""COMPUTED_VALUE"""),"")</f>
        <v/>
      </c>
      <c r="O24" s="7" t="str">
        <f>IFERROR(__xludf.DUMMYFUNCTION("""COMPUTED_VALUE"""),"")</f>
        <v/>
      </c>
      <c r="P24" s="7" t="str">
        <f>IFERROR(__xludf.DUMMYFUNCTION("""COMPUTED_VALUE"""),"?")</f>
        <v>?</v>
      </c>
      <c r="Q24" s="7" t="str">
        <f>IFERROR(__xludf.DUMMYFUNCTION("""COMPUTED_VALUE"""),"")</f>
        <v/>
      </c>
      <c r="R24" s="8" t="str">
        <f>IFERROR(__xludf.DUMMYFUNCTION("""COMPUTED_VALUE"""),"")</f>
        <v/>
      </c>
      <c r="S24" s="7" t="str">
        <f>IFERROR(__xludf.DUMMYFUNCTION("""COMPUTED_VALUE"""),"")</f>
        <v/>
      </c>
      <c r="T24" s="7"/>
      <c r="U24" s="7"/>
      <c r="V24" s="7"/>
      <c r="W24" s="7"/>
      <c r="X24" s="7"/>
      <c r="Y24" s="7"/>
      <c r="Z24" s="7"/>
    </row>
    <row r="25">
      <c r="A25" s="7" t="str">
        <f>IFERROR(__xludf.DUMMYFUNCTION("""COMPUTED_VALUE"""),"TCM_dKosh_General_SMF1_002_072")</f>
        <v>TCM_dKosh_General_SMF1_002_072</v>
      </c>
      <c r="B25" s="7" t="str">
        <f>IFERROR(__xludf.DUMMYFUNCTION("""COMPUTED_VALUE"""),"TP_dKosh_General_SMF1_002")</f>
        <v>TP_dKosh_General_SMF1_002</v>
      </c>
      <c r="C25" s="7">
        <f>IFERROR(__xludf.DUMMYFUNCTION("""COMPUTED_VALUE"""),72.0)</f>
        <v>72</v>
      </c>
      <c r="D25" s="7" t="str">
        <f>IFERROR(__xludf.DUMMYFUNCTION("""COMPUTED_VALUE"""),"Web, Mobile")</f>
        <v>Web, Mobile</v>
      </c>
      <c r="E25" s="7" t="str">
        <f>IFERROR(__xludf.DUMMYFUNCTION("""COMPUTED_VALUE"""),"General")</f>
        <v>General</v>
      </c>
      <c r="F25" s="7" t="str">
        <f>IFERROR(__xludf.DUMMYFUNCTION("""COMPUTED_VALUE"""),"Create Form")</f>
        <v>Create Form</v>
      </c>
      <c r="G25" s="7" t="str">
        <f>IFERROR(__xludf.DUMMYFUNCTION("""COMPUTED_VALUE"""),"M")</f>
        <v>M</v>
      </c>
      <c r="H25" s="7" t="str">
        <f>IFERROR(__xludf.DUMMYFUNCTION("""COMPUTED_VALUE"""),"Aditya")</f>
        <v>Aditya</v>
      </c>
      <c r="I25" s="7" t="str">
        <f>IFERROR(__xludf.DUMMYFUNCTION("""COMPUTED_VALUE"""),"Functional")</f>
        <v>Functional</v>
      </c>
      <c r="J25" s="7" t="str">
        <f>IFERROR(__xludf.DUMMYFUNCTION("""COMPUTED_VALUE"""),"")</f>
        <v/>
      </c>
      <c r="K25" s="7" t="str">
        <f>IFERROR(__xludf.DUMMYFUNCTION("""COMPUTED_VALUE"""),"Verify, post action after switch on of  'Notify approver on response submission?'.")</f>
        <v>Verify, post action after switch on of  'Notify approver on response submission?'.</v>
      </c>
      <c r="L25" s="7" t="str">
        <f>IFERROR(__xludf.DUMMYFUNCTION("""COMPUTED_VALUE"""),"1. Go to manage form list.
2. Click on plus icon.
3. Switch on of 'Notify approver on response submission?'.")</f>
        <v>1. Go to manage form list.
2. Click on plus icon.
3. Switch on of 'Notify approver on response submission?'.</v>
      </c>
      <c r="M25" s="7" t="str">
        <f>IFERROR(__xludf.DUMMYFUNCTION("""COMPUTED_VALUE"""),"If yes, then notify respondent via SMS/notification/email on form approval.")</f>
        <v>If yes, then notify respondent via SMS/notification/email on form approval.</v>
      </c>
      <c r="N25" s="7" t="str">
        <f>IFERROR(__xludf.DUMMYFUNCTION("""COMPUTED_VALUE"""),"")</f>
        <v/>
      </c>
      <c r="O25" s="7" t="str">
        <f>IFERROR(__xludf.DUMMYFUNCTION("""COMPUTED_VALUE"""),"")</f>
        <v/>
      </c>
      <c r="P25" s="7" t="str">
        <f>IFERROR(__xludf.DUMMYFUNCTION("""COMPUTED_VALUE"""),"?")</f>
        <v>?</v>
      </c>
      <c r="Q25" s="7" t="str">
        <f>IFERROR(__xludf.DUMMYFUNCTION("""COMPUTED_VALUE"""),"")</f>
        <v/>
      </c>
      <c r="R25" s="8" t="str">
        <f>IFERROR(__xludf.DUMMYFUNCTION("""COMPUTED_VALUE"""),"")</f>
        <v/>
      </c>
      <c r="S25" s="7" t="str">
        <f>IFERROR(__xludf.DUMMYFUNCTION("""COMPUTED_VALUE"""),"")</f>
        <v/>
      </c>
      <c r="T25" s="7"/>
      <c r="U25" s="7"/>
      <c r="V25" s="7"/>
      <c r="W25" s="7"/>
      <c r="X25" s="7"/>
      <c r="Y25" s="7"/>
      <c r="Z25" s="7"/>
    </row>
    <row r="26">
      <c r="A26" s="7" t="str">
        <f>IFERROR(__xludf.DUMMYFUNCTION("""COMPUTED_VALUE"""),"TCM_dKosh_General_SMF1_002_073")</f>
        <v>TCM_dKosh_General_SMF1_002_073</v>
      </c>
      <c r="B26" s="7" t="str">
        <f>IFERROR(__xludf.DUMMYFUNCTION("""COMPUTED_VALUE"""),"TP_dKosh_General_SMF1_002")</f>
        <v>TP_dKosh_General_SMF1_002</v>
      </c>
      <c r="C26" s="7">
        <f>IFERROR(__xludf.DUMMYFUNCTION("""COMPUTED_VALUE"""),73.0)</f>
        <v>73</v>
      </c>
      <c r="D26" s="7" t="str">
        <f>IFERROR(__xludf.DUMMYFUNCTION("""COMPUTED_VALUE"""),"Web, Mobile")</f>
        <v>Web, Mobile</v>
      </c>
      <c r="E26" s="7" t="str">
        <f>IFERROR(__xludf.DUMMYFUNCTION("""COMPUTED_VALUE"""),"General")</f>
        <v>General</v>
      </c>
      <c r="F26" s="7" t="str">
        <f>IFERROR(__xludf.DUMMYFUNCTION("""COMPUTED_VALUE"""),"Create Form")</f>
        <v>Create Form</v>
      </c>
      <c r="G26" s="7" t="str">
        <f>IFERROR(__xludf.DUMMYFUNCTION("""COMPUTED_VALUE"""),"M")</f>
        <v>M</v>
      </c>
      <c r="H26" s="7" t="str">
        <f>IFERROR(__xludf.DUMMYFUNCTION("""COMPUTED_VALUE"""),"Aditya")</f>
        <v>Aditya</v>
      </c>
      <c r="I26" s="7" t="str">
        <f>IFERROR(__xludf.DUMMYFUNCTION("""COMPUTED_VALUE"""),"Functional")</f>
        <v>Functional</v>
      </c>
      <c r="J26" s="7" t="str">
        <f>IFERROR(__xludf.DUMMYFUNCTION("""COMPUTED_VALUE"""),"")</f>
        <v/>
      </c>
      <c r="K26" s="7" t="str">
        <f>IFERROR(__xludf.DUMMYFUNCTION("""COMPUTED_VALUE"""),"Verify, post action after switch on of  'Notify respondent on response submission?'.")</f>
        <v>Verify, post action after switch on of  'Notify respondent on response submission?'.</v>
      </c>
      <c r="L26" s="7" t="str">
        <f>IFERROR(__xludf.DUMMYFUNCTION("""COMPUTED_VALUE"""),"1. Go to manage form list.
2. Click on plus icon.
3. Switch on of 'Notify respondent on response submission?'.")</f>
        <v>1. Go to manage form list.
2. Click on plus icon.
3. Switch on of 'Notify respondent on response submission?'.</v>
      </c>
      <c r="M26" s="7" t="str">
        <f>IFERROR(__xludf.DUMMYFUNCTION("""COMPUTED_VALUE"""),"If yes, then notify respondent via SMS/notification/email on form submission.")</f>
        <v>If yes, then notify respondent via SMS/notification/email on form submission.</v>
      </c>
      <c r="N26" s="7" t="str">
        <f>IFERROR(__xludf.DUMMYFUNCTION("""COMPUTED_VALUE"""),"")</f>
        <v/>
      </c>
      <c r="O26" s="7" t="str">
        <f>IFERROR(__xludf.DUMMYFUNCTION("""COMPUTED_VALUE"""),"")</f>
        <v/>
      </c>
      <c r="P26" s="7" t="str">
        <f>IFERROR(__xludf.DUMMYFUNCTION("""COMPUTED_VALUE"""),"?")</f>
        <v>?</v>
      </c>
      <c r="Q26" s="7" t="str">
        <f>IFERROR(__xludf.DUMMYFUNCTION("""COMPUTED_VALUE"""),"")</f>
        <v/>
      </c>
      <c r="R26" s="8" t="str">
        <f>IFERROR(__xludf.DUMMYFUNCTION("""COMPUTED_VALUE"""),"")</f>
        <v/>
      </c>
      <c r="S26" s="7" t="str">
        <f>IFERROR(__xludf.DUMMYFUNCTION("""COMPUTED_VALUE"""),"")</f>
        <v/>
      </c>
      <c r="T26" s="7"/>
      <c r="U26" s="7"/>
      <c r="V26" s="7"/>
      <c r="W26" s="7"/>
      <c r="X26" s="7"/>
      <c r="Y26" s="7"/>
      <c r="Z26" s="7"/>
    </row>
    <row r="27">
      <c r="A27" s="7" t="str">
        <f>IFERROR(__xludf.DUMMYFUNCTION("""COMPUTED_VALUE"""),"TCM_dKosh_General_SMF1_002_074")</f>
        <v>TCM_dKosh_General_SMF1_002_074</v>
      </c>
      <c r="B27" s="7" t="str">
        <f>IFERROR(__xludf.DUMMYFUNCTION("""COMPUTED_VALUE"""),"TP_dKosh_General_SMF1_002")</f>
        <v>TP_dKosh_General_SMF1_002</v>
      </c>
      <c r="C27" s="7">
        <f>IFERROR(__xludf.DUMMYFUNCTION("""COMPUTED_VALUE"""),74.0)</f>
        <v>74</v>
      </c>
      <c r="D27" s="7" t="str">
        <f>IFERROR(__xludf.DUMMYFUNCTION("""COMPUTED_VALUE"""),"Web, Mobile")</f>
        <v>Web, Mobile</v>
      </c>
      <c r="E27" s="7" t="str">
        <f>IFERROR(__xludf.DUMMYFUNCTION("""COMPUTED_VALUE"""),"General")</f>
        <v>General</v>
      </c>
      <c r="F27" s="7" t="str">
        <f>IFERROR(__xludf.DUMMYFUNCTION("""COMPUTED_VALUE"""),"Create Form")</f>
        <v>Create Form</v>
      </c>
      <c r="G27" s="7" t="str">
        <f>IFERROR(__xludf.DUMMYFUNCTION("""COMPUTED_VALUE"""),"M")</f>
        <v>M</v>
      </c>
      <c r="H27" s="7" t="str">
        <f>IFERROR(__xludf.DUMMYFUNCTION("""COMPUTED_VALUE"""),"Aditya")</f>
        <v>Aditya</v>
      </c>
      <c r="I27" s="7" t="str">
        <f>IFERROR(__xludf.DUMMYFUNCTION("""COMPUTED_VALUE"""),"Functional")</f>
        <v>Functional</v>
      </c>
      <c r="J27" s="7" t="str">
        <f>IFERROR(__xludf.DUMMYFUNCTION("""COMPUTED_VALUE"""),"")</f>
        <v/>
      </c>
      <c r="K27" s="7" t="str">
        <f>IFERROR(__xludf.DUMMYFUNCTION("""COMPUTED_VALUE"""),"Verify, post action after switch on of  'Notify approver on response submission?'.")</f>
        <v>Verify, post action after switch on of  'Notify approver on response submission?'.</v>
      </c>
      <c r="L27" s="7" t="str">
        <f>IFERROR(__xludf.DUMMYFUNCTION("""COMPUTED_VALUE"""),"1. Go to manage form list.
2. Click on plus icon.
3. Switch on of 'Notify respondent on approval?'.")</f>
        <v>1. Go to manage form list.
2. Click on plus icon.
3. Switch on of 'Notify respondent on approval?'.</v>
      </c>
      <c r="M27" s="7" t="str">
        <f>IFERROR(__xludf.DUMMYFUNCTION("""COMPUTED_VALUE"""),"If yes, then notify approver via SMS/notification/email on form submission.")</f>
        <v>If yes, then notify approver via SMS/notification/email on form submission.</v>
      </c>
      <c r="N27" s="7" t="str">
        <f>IFERROR(__xludf.DUMMYFUNCTION("""COMPUTED_VALUE"""),"")</f>
        <v/>
      </c>
      <c r="O27" s="7" t="str">
        <f>IFERROR(__xludf.DUMMYFUNCTION("""COMPUTED_VALUE"""),"")</f>
        <v/>
      </c>
      <c r="P27" s="7" t="str">
        <f>IFERROR(__xludf.DUMMYFUNCTION("""COMPUTED_VALUE"""),"?")</f>
        <v>?</v>
      </c>
      <c r="Q27" s="7" t="str">
        <f>IFERROR(__xludf.DUMMYFUNCTION("""COMPUTED_VALUE"""),"")</f>
        <v/>
      </c>
      <c r="R27" s="8" t="str">
        <f>IFERROR(__xludf.DUMMYFUNCTION("""COMPUTED_VALUE"""),"")</f>
        <v/>
      </c>
      <c r="S27" s="7" t="str">
        <f>IFERROR(__xludf.DUMMYFUNCTION("""COMPUTED_VALUE"""),"")</f>
        <v/>
      </c>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hidden="1" min="1" max="1" width="34.29"/>
    <col customWidth="1" hidden="1" min="2" max="2" width="24.86"/>
    <col customWidth="1" hidden="1" min="3" max="3" width="8.71"/>
    <col customWidth="1" hidden="1" min="4" max="4" width="13.57"/>
    <col hidden="1" min="5" max="7" width="14.43"/>
    <col customWidth="1" hidden="1" min="8" max="8" width="12.0"/>
    <col customWidth="1" hidden="1" min="9" max="9" width="12.86"/>
    <col customWidth="1" min="10" max="10" width="28.14"/>
    <col customWidth="1" min="11" max="11" width="27.71"/>
    <col customWidth="1" min="12" max="12" width="31.0"/>
    <col customWidth="1" min="13" max="13" width="37.29"/>
    <col customWidth="1" min="14" max="14" width="21.0"/>
    <col customWidth="1" min="15" max="15" width="29.57"/>
  </cols>
  <sheetData>
    <row r="1">
      <c r="A1" s="1" t="str">
        <f>IFERROR(__xludf.DUMMYFUNCTION("Query(IMPORTRANGE(""https://docs.google.com/spreadsheets/d/1jEbAG0bEllXTKAGJlqI8FhpDdA5pI2ez4m_dRKlp78w/edit#gid=23870931"", ""TC - Manage Form!A:S""), ""select* where Col16= 'Fail' OR Col16= '?'"")"),"Test Case Id")</f>
        <v>Test Case Id</v>
      </c>
      <c r="B1" s="2" t="str">
        <f>IFERROR(__xludf.DUMMYFUNCTION("""COMPUTED_VALUE"""),"Test Plan Id")</f>
        <v>Test Plan Id</v>
      </c>
      <c r="C1" s="2" t="str">
        <f>IFERROR(__xludf.DUMMYFUNCTION("""COMPUTED_VALUE"""),"TC #")</f>
        <v>TC #</v>
      </c>
      <c r="D1" s="2" t="str">
        <f>IFERROR(__xludf.DUMMYFUNCTION("""COMPUTED_VALUE"""),"Platform")</f>
        <v>Platform</v>
      </c>
      <c r="E1" s="2" t="str">
        <f>IFERROR(__xludf.DUMMYFUNCTION("""COMPUTED_VALUE"""),"Sub Module Features")</f>
        <v>Sub Module Features</v>
      </c>
      <c r="F1" s="2" t="str">
        <f>IFERROR(__xludf.DUMMYFUNCTION("""COMPUTED_VALUE"""),"Action")</f>
        <v>Action</v>
      </c>
      <c r="G1" s="2" t="str">
        <f>IFERROR(__xludf.DUMMYFUNCTION("""COMPUTED_VALUE"""),"Test Mode")</f>
        <v>Test Mode</v>
      </c>
      <c r="H1" s="2" t="str">
        <f>IFERROR(__xludf.DUMMYFUNCTION("""COMPUTED_VALUE"""),"Created By")</f>
        <v>Created By</v>
      </c>
      <c r="I1" s="2" t="str">
        <f>IFERROR(__xludf.DUMMYFUNCTION("""COMPUTED_VALUE"""),"Test Case Type")</f>
        <v>Test Case Type</v>
      </c>
      <c r="J1" s="2" t="str">
        <f>IFERROR(__xludf.DUMMYFUNCTION("""COMPUTED_VALUE"""),"Pre Condition")</f>
        <v>Pre Condition</v>
      </c>
      <c r="K1" s="2" t="str">
        <f>IFERROR(__xludf.DUMMYFUNCTION("""COMPUTED_VALUE"""),"Test Case Description")</f>
        <v>Test Case Description</v>
      </c>
      <c r="L1" s="2" t="str">
        <f>IFERROR(__xludf.DUMMYFUNCTION("""COMPUTED_VALUE"""),"Steps")</f>
        <v>Steps</v>
      </c>
      <c r="M1" s="2" t="str">
        <f>IFERROR(__xludf.DUMMYFUNCTION("""COMPUTED_VALUE"""),"Expected Result")</f>
        <v>Expected Result</v>
      </c>
      <c r="N1" s="2" t="str">
        <f>IFERROR(__xludf.DUMMYFUNCTION("""COMPUTED_VALUE"""),"Conditions / Formula / Query")</f>
        <v>Conditions / Formula / Query</v>
      </c>
      <c r="O1" s="2" t="str">
        <f>IFERROR(__xludf.DUMMYFUNCTION("""COMPUTED_VALUE"""),"Actual Result")</f>
        <v>Actual Result</v>
      </c>
      <c r="P1" s="2" t="str">
        <f>IFERROR(__xludf.DUMMYFUNCTION("""COMPUTED_VALUE"""),"Pass/Fail")</f>
        <v>Pass/Fail</v>
      </c>
      <c r="Q1" s="2" t="str">
        <f>IFERROR(__xludf.DUMMYFUNCTION("""COMPUTED_VALUE"""),"Executed By")</f>
        <v>Executed By</v>
      </c>
      <c r="R1" s="2" t="str">
        <f>IFERROR(__xludf.DUMMYFUNCTION("""COMPUTED_VALUE"""),"Date Execution")</f>
        <v>Date Execution</v>
      </c>
      <c r="S1" s="2" t="str">
        <f>IFERROR(__xludf.DUMMYFUNCTION("""COMPUTED_VALUE"""),"Release")</f>
        <v>Release</v>
      </c>
      <c r="T1" s="5" t="s">
        <v>0</v>
      </c>
      <c r="U1" s="5" t="s">
        <v>1</v>
      </c>
      <c r="V1" s="7"/>
      <c r="W1" s="7"/>
      <c r="X1" s="7"/>
      <c r="Y1" s="7"/>
      <c r="Z1" s="7"/>
    </row>
    <row r="2">
      <c r="A2" s="7" t="str">
        <f>IFERROR(__xludf.DUMMYFUNCTION("""COMPUTED_VALUE"""),"TCM_dKosh_General_SMF1_003_003")</f>
        <v>TCM_dKosh_General_SMF1_003_003</v>
      </c>
      <c r="B2" s="7" t="str">
        <f>IFERROR(__xludf.DUMMYFUNCTION("""COMPUTED_VALUE"""),"TP_dKosh_General_SMF1_003")</f>
        <v>TP_dKosh_General_SMF1_003</v>
      </c>
      <c r="C2" s="7">
        <f>IFERROR(__xludf.DUMMYFUNCTION("""COMPUTED_VALUE"""),3.0)</f>
        <v>3</v>
      </c>
      <c r="D2" s="7" t="str">
        <f>IFERROR(__xludf.DUMMYFUNCTION("""COMPUTED_VALUE"""),"")</f>
        <v/>
      </c>
      <c r="E2" s="7" t="str">
        <f>IFERROR(__xludf.DUMMYFUNCTION("""COMPUTED_VALUE"""),"General")</f>
        <v>General</v>
      </c>
      <c r="F2" s="7" t="str">
        <f>IFERROR(__xludf.DUMMYFUNCTION("""COMPUTED_VALUE"""),"Manage Form List")</f>
        <v>Manage Form List</v>
      </c>
      <c r="G2" s="7" t="str">
        <f>IFERROR(__xludf.DUMMYFUNCTION("""COMPUTED_VALUE"""),"M")</f>
        <v>M</v>
      </c>
      <c r="H2" s="7" t="str">
        <f>IFERROR(__xludf.DUMMYFUNCTION("""COMPUTED_VALUE"""),"Aditya")</f>
        <v>Aditya</v>
      </c>
      <c r="I2" s="7" t="str">
        <f>IFERROR(__xludf.DUMMYFUNCTION("""COMPUTED_VALUE"""),"UI")</f>
        <v>UI</v>
      </c>
      <c r="J2" s="7" t="str">
        <f>IFERROR(__xludf.DUMMYFUNCTION("""COMPUTED_VALUE"""),"1. Form must be created.
2. User has permission of 'View form List'.")</f>
        <v>1. Form must be created.
2. User has permission of 'View form List'.</v>
      </c>
      <c r="K2" s="7" t="str">
        <f>IFERROR(__xludf.DUMMYFUNCTION("""COMPUTED_VALUE"""),"Verify, Columns to be displayed in list.")</f>
        <v>Verify, Columns to be displayed in list.</v>
      </c>
      <c r="L2" s="7" t="str">
        <f>IFERROR(__xludf.DUMMYFUNCTION("""COMPUTED_VALUE"""),"1. Go  to 'Manage Form' list.
2. Verify displaying columns.")</f>
        <v>1. Go  to 'Manage Form' list.
2. Verify displaying columns.</v>
      </c>
      <c r="M2" s="7" t="str">
        <f>IFERROR(__xludf.DUMMYFUNCTION("""COMPUTED_VALUE"""),"1. S.No.
2. Form Name 
3. Short Name
4. Owner
5. Respondent Group
6.. Sections/Questions 
7.. No. of Responses
8. Accept Responses
9. Status
10. Action")</f>
        <v>1. S.No.
2. Form Name 
3. Short Name
4. Owner
5. Respondent Group
6.. Sections/Questions 
7.. No. of Responses
8. Accept Responses
9. Status
10. Action</v>
      </c>
      <c r="N2" s="7" t="str">
        <f>IFERROR(__xludf.DUMMYFUNCTION("""COMPUTED_VALUE"""),"")</f>
        <v/>
      </c>
      <c r="O2" s="7" t="str">
        <f>IFERROR(__xludf.DUMMYFUNCTION("""COMPUTED_VALUE"""),"1.Respondent Group table column is not Present.
2. Owner should be shown instead of Owner/Date")</f>
        <v>1.Respondent Group table column is not Present.
2. Owner should be shown instead of Owner/Date</v>
      </c>
      <c r="P2" s="7" t="str">
        <f>IFERROR(__xludf.DUMMYFUNCTION("""COMPUTED_VALUE"""),"Fail")</f>
        <v>Fail</v>
      </c>
      <c r="Q2" s="7" t="str">
        <f>IFERROR(__xludf.DUMMYFUNCTION("""COMPUTED_VALUE"""),"Jaikishan")</f>
        <v>Jaikishan</v>
      </c>
      <c r="R2" s="8">
        <f>IFERROR(__xludf.DUMMYFUNCTION("""COMPUTED_VALUE"""),43785.0)</f>
        <v>43785</v>
      </c>
      <c r="S2" s="7" t="str">
        <f>IFERROR(__xludf.DUMMYFUNCTION("""COMPUTED_VALUE"""),"")</f>
        <v/>
      </c>
      <c r="T2" s="7"/>
      <c r="U2" s="7"/>
      <c r="V2" s="7"/>
      <c r="W2" s="7"/>
      <c r="X2" s="7"/>
      <c r="Y2" s="7"/>
      <c r="Z2" s="7"/>
    </row>
    <row r="3">
      <c r="A3" s="7" t="str">
        <f>IFERROR(__xludf.DUMMYFUNCTION("""COMPUTED_VALUE"""),"TCM_dKosh_General_SMF1_028_015")</f>
        <v>TCM_dKosh_General_SMF1_028_015</v>
      </c>
      <c r="B3" s="7" t="str">
        <f>IFERROR(__xludf.DUMMYFUNCTION("""COMPUTED_VALUE"""),"TP_dKosh_General_SMF1_028")</f>
        <v>TP_dKosh_General_SMF1_028</v>
      </c>
      <c r="C3" s="7">
        <f>IFERROR(__xludf.DUMMYFUNCTION("""COMPUTED_VALUE"""),15.0)</f>
        <v>15</v>
      </c>
      <c r="D3" s="7" t="str">
        <f>IFERROR(__xludf.DUMMYFUNCTION("""COMPUTED_VALUE"""),"")</f>
        <v/>
      </c>
      <c r="E3" s="7" t="str">
        <f>IFERROR(__xludf.DUMMYFUNCTION("""COMPUTED_VALUE"""),"General")</f>
        <v>General</v>
      </c>
      <c r="F3" s="7" t="str">
        <f>IFERROR(__xludf.DUMMYFUNCTION("""COMPUTED_VALUE"""),"Manage Form -Action")</f>
        <v>Manage Form -Action</v>
      </c>
      <c r="G3" s="7" t="str">
        <f>IFERROR(__xludf.DUMMYFUNCTION("""COMPUTED_VALUE"""),"M")</f>
        <v>M</v>
      </c>
      <c r="H3" s="7" t="str">
        <f>IFERROR(__xludf.DUMMYFUNCTION("""COMPUTED_VALUE"""),"Jaikishan")</f>
        <v>Jaikishan</v>
      </c>
      <c r="I3" s="7" t="str">
        <f>IFERROR(__xludf.DUMMYFUNCTION("""COMPUTED_VALUE"""),"UI")</f>
        <v>UI</v>
      </c>
      <c r="J3" s="7" t="str">
        <f>IFERROR(__xludf.DUMMYFUNCTION("""COMPUTED_VALUE"""),"1. Form must be created.
2. User has permission of 'View form List'.")</f>
        <v>1. Form must be created.
2. User has permission of 'View form List'.</v>
      </c>
      <c r="K3" s="7" t="str">
        <f>IFERROR(__xludf.DUMMYFUNCTION("""COMPUTED_VALUE"""),"Verify, Labels name displaying on clicking action icon.")</f>
        <v>Verify, Labels name displaying on clicking action icon.</v>
      </c>
      <c r="L3" s="7" t="str">
        <f>IFERROR(__xludf.DUMMYFUNCTION("""COMPUTED_VALUE"""),"1. Go to manage form list.
2. Click on Action icon.")</f>
        <v>1. Go to manage form list.
2. Click on Action icon.</v>
      </c>
      <c r="M3" s="7" t="str">
        <f>IFERROR(__xludf.DUMMYFUNCTION("""COMPUTED_VALUE"""),"1. Modify Form
2. Preview Form
3. Share Form
4. Manage Respondents
5. Analyze Result
6. Delete Test Responses 
7. Settings
8. Delete")</f>
        <v>1. Modify Form
2. Preview Form
3. Share Form
4. Manage Respondents
5. Analyze Result
6. Delete Test Responses 
7. Settings
8. Delete</v>
      </c>
      <c r="N3" s="7" t="str">
        <f>IFERROR(__xludf.DUMMYFUNCTION("""COMPUTED_VALUE"""),"")</f>
        <v/>
      </c>
      <c r="O3" s="7" t="str">
        <f>IFERROR(__xludf.DUMMYFUNCTION("""COMPUTED_VALUE"""),"Delete Responses showing instead of Delete Test Responses.")</f>
        <v>Delete Responses showing instead of Delete Test Responses.</v>
      </c>
      <c r="P3" s="7" t="str">
        <f>IFERROR(__xludf.DUMMYFUNCTION("""COMPUTED_VALUE"""),"Fail")</f>
        <v>Fail</v>
      </c>
      <c r="Q3" s="7" t="str">
        <f>IFERROR(__xludf.DUMMYFUNCTION("""COMPUTED_VALUE"""),"Jaikishan")</f>
        <v>Jaikishan</v>
      </c>
      <c r="R3" s="8">
        <f>IFERROR(__xludf.DUMMYFUNCTION("""COMPUTED_VALUE"""),43799.0)</f>
        <v>43799</v>
      </c>
      <c r="S3" s="7" t="str">
        <f>IFERROR(__xludf.DUMMYFUNCTION("""COMPUTED_VALUE"""),"")</f>
        <v/>
      </c>
      <c r="T3" s="7"/>
      <c r="U3" s="7"/>
      <c r="V3" s="7"/>
      <c r="W3" s="7"/>
      <c r="X3" s="7"/>
      <c r="Y3" s="7"/>
      <c r="Z3" s="7"/>
    </row>
    <row r="4">
      <c r="A4" s="7" t="str">
        <f>IFERROR(__xludf.DUMMYFUNCTION("""COMPUTED_VALUE"""),"TCM_dKosh_General_SMF1_029_030")</f>
        <v>TCM_dKosh_General_SMF1_029_030</v>
      </c>
      <c r="B4" s="7" t="str">
        <f>IFERROR(__xludf.DUMMYFUNCTION("""COMPUTED_VALUE"""),"TP_dKosh_General_SMF1_029")</f>
        <v>TP_dKosh_General_SMF1_029</v>
      </c>
      <c r="C4" s="7">
        <f>IFERROR(__xludf.DUMMYFUNCTION("""COMPUTED_VALUE"""),30.0)</f>
        <v>30</v>
      </c>
      <c r="D4" s="7" t="str">
        <f>IFERROR(__xludf.DUMMYFUNCTION("""COMPUTED_VALUE"""),"")</f>
        <v/>
      </c>
      <c r="E4" s="7" t="str">
        <f>IFERROR(__xludf.DUMMYFUNCTION("""COMPUTED_VALUE"""),"General")</f>
        <v>General</v>
      </c>
      <c r="F4" s="7" t="str">
        <f>IFERROR(__xludf.DUMMYFUNCTION("""COMPUTED_VALUE"""),"Manage Form - Filter")</f>
        <v>Manage Form - Filter</v>
      </c>
      <c r="G4" s="7" t="str">
        <f>IFERROR(__xludf.DUMMYFUNCTION("""COMPUTED_VALUE"""),"M")</f>
        <v>M</v>
      </c>
      <c r="H4" s="7" t="str">
        <f>IFERROR(__xludf.DUMMYFUNCTION("""COMPUTED_VALUE"""),"Jaikishan")</f>
        <v>Jaikishan</v>
      </c>
      <c r="I4" s="7" t="str">
        <f>IFERROR(__xludf.DUMMYFUNCTION("""COMPUTED_VALUE"""),"Unit")</f>
        <v>Unit</v>
      </c>
      <c r="J4" s="7" t="str">
        <f>IFERROR(__xludf.DUMMYFUNCTION("""COMPUTED_VALUE"""),"")</f>
        <v/>
      </c>
      <c r="K4" s="7" t="str">
        <f>IFERROR(__xludf.DUMMYFUNCTION("""COMPUTED_VALUE"""),"Verify, Columns to be displayed in Filter.")</f>
        <v>Verify, Columns to be displayed in Filter.</v>
      </c>
      <c r="L4" s="7" t="str">
        <f>IFERROR(__xludf.DUMMYFUNCTION("""COMPUTED_VALUE"""),"1. Go  to 'Manage Form' list.
2. Click on Filter icon.
3. Verify column to display.(filters)")</f>
        <v>1. Go  to 'Manage Form' list.
2. Click on Filter icon.
3. Verify column to display.(filters)</v>
      </c>
      <c r="M4" s="7" t="str">
        <f>IFERROR(__xludf.DUMMYFUNCTION("""COMPUTED_VALUE"""),"1. Period (dropdown)
2. Show Expired (Checkbox)
3. Status (dropdown)
4. Show Result (Button)
5. Reset (Button)")</f>
        <v>1. Period (dropdown)
2. Show Expired (Checkbox)
3. Status (dropdown)
4. Show Result (Button)
5. Reset (Button)</v>
      </c>
      <c r="N4" s="7" t="str">
        <f>IFERROR(__xludf.DUMMYFUNCTION("""COMPUTED_VALUE"""),"")</f>
        <v/>
      </c>
      <c r="O4" s="7" t="str">
        <f>IFERROR(__xludf.DUMMYFUNCTION("""COMPUTED_VALUE"""),"Filter Column is different from expected Result")</f>
        <v>Filter Column is different from expected Result</v>
      </c>
      <c r="P4" s="7" t="str">
        <f>IFERROR(__xludf.DUMMYFUNCTION("""COMPUTED_VALUE"""),"Fail")</f>
        <v>Fail</v>
      </c>
      <c r="Q4" s="7" t="str">
        <f>IFERROR(__xludf.DUMMYFUNCTION("""COMPUTED_VALUE"""),"Jaikishan")</f>
        <v>Jaikishan</v>
      </c>
      <c r="R4" s="8">
        <f>IFERROR(__xludf.DUMMYFUNCTION("""COMPUTED_VALUE"""),43785.0)</f>
        <v>43785</v>
      </c>
      <c r="S4" s="7" t="str">
        <f>IFERROR(__xludf.DUMMYFUNCTION("""COMPUTED_VALUE"""),"")</f>
        <v/>
      </c>
      <c r="T4" s="7"/>
      <c r="U4" s="7"/>
      <c r="V4" s="7"/>
      <c r="W4" s="7"/>
      <c r="X4" s="7"/>
      <c r="Y4" s="7"/>
      <c r="Z4" s="7"/>
    </row>
    <row r="5">
      <c r="A5" s="7" t="str">
        <f>IFERROR(__xludf.DUMMYFUNCTION("""COMPUTED_VALUE"""),"TCA_dKosh_General_SMF1_029_031")</f>
        <v>TCA_dKosh_General_SMF1_029_031</v>
      </c>
      <c r="B5" s="7" t="str">
        <f>IFERROR(__xludf.DUMMYFUNCTION("""COMPUTED_VALUE"""),"TP_dKosh_General_SMF1_029")</f>
        <v>TP_dKosh_General_SMF1_029</v>
      </c>
      <c r="C5" s="7">
        <f>IFERROR(__xludf.DUMMYFUNCTION("""COMPUTED_VALUE"""),31.0)</f>
        <v>31</v>
      </c>
      <c r="D5" s="7" t="str">
        <f>IFERROR(__xludf.DUMMYFUNCTION("""COMPUTED_VALUE"""),"")</f>
        <v/>
      </c>
      <c r="E5" s="7" t="str">
        <f>IFERROR(__xludf.DUMMYFUNCTION("""COMPUTED_VALUE"""),"General")</f>
        <v>General</v>
      </c>
      <c r="F5" s="7" t="str">
        <f>IFERROR(__xludf.DUMMYFUNCTION("""COMPUTED_VALUE"""),"Manage Form - Filter")</f>
        <v>Manage Form - Filter</v>
      </c>
      <c r="G5" s="7" t="str">
        <f>IFERROR(__xludf.DUMMYFUNCTION("""COMPUTED_VALUE"""),"A")</f>
        <v>A</v>
      </c>
      <c r="H5" s="7" t="str">
        <f>IFERROR(__xludf.DUMMYFUNCTION("""COMPUTED_VALUE"""),"Jaikishan")</f>
        <v>Jaikishan</v>
      </c>
      <c r="I5" s="7" t="str">
        <f>IFERROR(__xludf.DUMMYFUNCTION("""COMPUTED_VALUE"""),"Functional")</f>
        <v>Functional</v>
      </c>
      <c r="J5" s="7" t="str">
        <f>IFERROR(__xludf.DUMMYFUNCTION("""COMPUTED_VALUE"""),"1. Atleast one form should be there in list.")</f>
        <v>1. Atleast one form should be there in list.</v>
      </c>
      <c r="K5" s="7" t="str">
        <f>IFERROR(__xludf.DUMMYFUNCTION("""COMPUTED_VALUE"""),"Verify, Period filter is working.")</f>
        <v>Verify, Period filter is working.</v>
      </c>
      <c r="L5" s="7" t="str">
        <f>IFERROR(__xludf.DUMMYFUNCTION("""COMPUTED_VALUE"""),"1. Go  to 'Manage Form' list.
2. Click on Filter icon.
3. Enter/select period value.
4. Click on 'Show Result' button.")</f>
        <v>1. Go  to 'Manage Form' list.
2. Click on Filter icon.
3. Enter/select period value.
4. Click on 'Show Result' button.</v>
      </c>
      <c r="M5" s="7" t="str">
        <f>IFERROR(__xludf.DUMMYFUNCTION("""COMPUTED_VALUE"""),"created forms of selected period  should be displayed in list.")</f>
        <v>created forms of selected period  should be displayed in list.</v>
      </c>
      <c r="N5" s="7" t="str">
        <f>IFERROR(__xludf.DUMMYFUNCTION("""COMPUTED_VALUE"""),"")</f>
        <v/>
      </c>
      <c r="O5" s="7" t="str">
        <f>IFERROR(__xludf.DUMMYFUNCTION("""COMPUTED_VALUE"""),"Period Filter is not present.")</f>
        <v>Period Filter is not present.</v>
      </c>
      <c r="P5" s="7" t="str">
        <f>IFERROR(__xludf.DUMMYFUNCTION("""COMPUTED_VALUE"""),"Fail")</f>
        <v>Fail</v>
      </c>
      <c r="Q5" s="7" t="str">
        <f>IFERROR(__xludf.DUMMYFUNCTION("""COMPUTED_VALUE"""),"Jaikishan")</f>
        <v>Jaikishan</v>
      </c>
      <c r="R5" s="8">
        <f>IFERROR(__xludf.DUMMYFUNCTION("""COMPUTED_VALUE"""),43785.0)</f>
        <v>43785</v>
      </c>
      <c r="S5" s="7" t="str">
        <f>IFERROR(__xludf.DUMMYFUNCTION("""COMPUTED_VALUE"""),"")</f>
        <v/>
      </c>
      <c r="T5" s="7"/>
      <c r="U5" s="7"/>
      <c r="V5" s="7"/>
      <c r="W5" s="7"/>
      <c r="X5" s="7"/>
      <c r="Y5" s="7"/>
      <c r="Z5" s="7"/>
    </row>
    <row r="6">
      <c r="A6" s="7" t="str">
        <f>IFERROR(__xludf.DUMMYFUNCTION("""COMPUTED_VALUE"""),"TCM_dKosh_General_SMF1_005_048")</f>
        <v>TCM_dKosh_General_SMF1_005_048</v>
      </c>
      <c r="B6" s="7" t="str">
        <f>IFERROR(__xludf.DUMMYFUNCTION("""COMPUTED_VALUE"""),"TP_dKosh_General_SMF1_005")</f>
        <v>TP_dKosh_General_SMF1_005</v>
      </c>
      <c r="C6" s="7">
        <f>IFERROR(__xludf.DUMMYFUNCTION("""COMPUTED_VALUE"""),48.0)</f>
        <v>48</v>
      </c>
      <c r="D6" s="7" t="str">
        <f>IFERROR(__xludf.DUMMYFUNCTION("""COMPUTED_VALUE"""),"")</f>
        <v/>
      </c>
      <c r="E6" s="7" t="str">
        <f>IFERROR(__xludf.DUMMYFUNCTION("""COMPUTED_VALUE"""),"General")</f>
        <v>General</v>
      </c>
      <c r="F6" s="7" t="str">
        <f>IFERROR(__xludf.DUMMYFUNCTION("""COMPUTED_VALUE"""),"Preview Form")</f>
        <v>Preview Form</v>
      </c>
      <c r="G6" s="7" t="str">
        <f>IFERROR(__xludf.DUMMYFUNCTION("""COMPUTED_VALUE"""),"M")</f>
        <v>M</v>
      </c>
      <c r="H6" s="7" t="str">
        <f>IFERROR(__xludf.DUMMYFUNCTION("""COMPUTED_VALUE"""),"Aditya")</f>
        <v>Aditya</v>
      </c>
      <c r="I6" s="7" t="str">
        <f>IFERROR(__xludf.DUMMYFUNCTION("""COMPUTED_VALUE"""),"Functional")</f>
        <v>Functional</v>
      </c>
      <c r="J6" s="7" t="str">
        <f>IFERROR(__xludf.DUMMYFUNCTION("""COMPUTED_VALUE"""),"1. Form must be created.
2. User has permission of 'Preview' form.")</f>
        <v>1. Form must be created.
2. User has permission of 'Preview' form.</v>
      </c>
      <c r="K6" s="7" t="str">
        <f>IFERROR(__xludf.DUMMYFUNCTION("""COMPUTED_VALUE"""),"Verify, Information is editable on 'Preview Form' page.")</f>
        <v>Verify, Information is editable on 'Preview Form' page.</v>
      </c>
      <c r="L6" s="7" t="str">
        <f>IFERROR(__xludf.DUMMYFUNCTION("""COMPUTED_VALUE"""),"1. Go to manage form list.
2. Click on action icon of any form.
3. Click on Create Question/s.
4. Go to manage list again and click on 'Preview Form'.
5. Change some information of form/question.
6. Click on Save button. ")</f>
        <v>1. Go to manage form list.
2. Click on action icon of any form.
3. Click on Create Question/s.
4. Go to manage list again and click on 'Preview Form'.
5. Change some information of form/question.
6. Click on Save button. </v>
      </c>
      <c r="M6" s="7" t="str">
        <f>IFERROR(__xludf.DUMMYFUNCTION("""COMPUTED_VALUE"""),"??")</f>
        <v>??</v>
      </c>
      <c r="N6" s="7" t="str">
        <f>IFERROR(__xludf.DUMMYFUNCTION("""COMPUTED_VALUE"""),"")</f>
        <v/>
      </c>
      <c r="O6" s="7" t="str">
        <f>IFERROR(__xludf.DUMMYFUNCTION("""COMPUTED_VALUE"""),"")</f>
        <v/>
      </c>
      <c r="P6" s="7" t="str">
        <f>IFERROR(__xludf.DUMMYFUNCTION("""COMPUTED_VALUE"""),"?")</f>
        <v>?</v>
      </c>
      <c r="Q6" s="7" t="str">
        <f>IFERROR(__xludf.DUMMYFUNCTION("""COMPUTED_VALUE"""),"Jaikishan")</f>
        <v>Jaikishan</v>
      </c>
      <c r="R6" s="8">
        <f>IFERROR(__xludf.DUMMYFUNCTION("""COMPUTED_VALUE"""),43799.0)</f>
        <v>43799</v>
      </c>
      <c r="S6" s="7" t="str">
        <f>IFERROR(__xludf.DUMMYFUNCTION("""COMPUTED_VALUE"""),"")</f>
        <v/>
      </c>
      <c r="T6" s="7"/>
      <c r="U6" s="7"/>
      <c r="V6" s="7"/>
      <c r="W6" s="7"/>
      <c r="X6" s="7"/>
      <c r="Y6" s="7"/>
      <c r="Z6" s="7"/>
    </row>
    <row r="7">
      <c r="A7" s="7" t="str">
        <f>IFERROR(__xludf.DUMMYFUNCTION("""COMPUTED_VALUE"""),"TCM_dKosh_General_SMF1_028_054")</f>
        <v>TCM_dKosh_General_SMF1_028_054</v>
      </c>
      <c r="B7" s="7" t="str">
        <f>IFERROR(__xludf.DUMMYFUNCTION("""COMPUTED_VALUE"""),"TP_dKosh_General_SMF1_028")</f>
        <v>TP_dKosh_General_SMF1_028</v>
      </c>
      <c r="C7" s="7">
        <f>IFERROR(__xludf.DUMMYFUNCTION("""COMPUTED_VALUE"""),54.0)</f>
        <v>54</v>
      </c>
      <c r="D7" s="7" t="str">
        <f>IFERROR(__xludf.DUMMYFUNCTION("""COMPUTED_VALUE"""),"")</f>
        <v/>
      </c>
      <c r="E7" s="7" t="str">
        <f>IFERROR(__xludf.DUMMYFUNCTION("""COMPUTED_VALUE"""),"General")</f>
        <v>General</v>
      </c>
      <c r="F7" s="7" t="str">
        <f>IFERROR(__xludf.DUMMYFUNCTION("""COMPUTED_VALUE"""),"Manage Form -Status")</f>
        <v>Manage Form -Status</v>
      </c>
      <c r="G7" s="7" t="str">
        <f>IFERROR(__xludf.DUMMYFUNCTION("""COMPUTED_VALUE"""),"M")</f>
        <v>M</v>
      </c>
      <c r="H7" s="7" t="str">
        <f>IFERROR(__xludf.DUMMYFUNCTION("""COMPUTED_VALUE"""),"Aditya")</f>
        <v>Aditya</v>
      </c>
      <c r="I7" s="7" t="str">
        <f>IFERROR(__xludf.DUMMYFUNCTION("""COMPUTED_VALUE"""),"Functional")</f>
        <v>Functional</v>
      </c>
      <c r="J7" s="7" t="str">
        <f>IFERROR(__xludf.DUMMYFUNCTION("""COMPUTED_VALUE"""),"1. Creator/Modifier has permission to Change status of form.
2. Form should be editable(as per document status).
3. Atleast one form must be created.")</f>
        <v>1. Creator/Modifier has permission to Change status of form.
2. Form should be editable(as per document status).
3. Atleast one form must be created.</v>
      </c>
      <c r="K7" s="7" t="str">
        <f>IFERROR(__xludf.DUMMYFUNCTION("""COMPUTED_VALUE"""),"Verify, text to display for external user for New status.")</f>
        <v>Verify, text to display for external user for New status.</v>
      </c>
      <c r="L7" s="7" t="str">
        <f>IFERROR(__xludf.DUMMYFUNCTION("""COMPUTED_VALUE"""),"1. Create new form.
2. Go to manage form list.
3. Check text displaying on status window.")</f>
        <v>1. Create new form.
2. Go to manage form list.
3. Check text displaying on status window.</v>
      </c>
      <c r="M7" s="7" t="str">
        <f>IFERROR(__xludf.DUMMYFUNCTION("""COMPUTED_VALUE"""),"It should be 'New(Draft)'")</f>
        <v>It should be 'New(Draft)'</v>
      </c>
      <c r="N7" s="7" t="str">
        <f>IFERROR(__xludf.DUMMYFUNCTION("""COMPUTED_VALUE"""),"")</f>
        <v/>
      </c>
      <c r="O7" s="7" t="str">
        <f>IFERROR(__xludf.DUMMYFUNCTION("""COMPUTED_VALUE"""),"")</f>
        <v/>
      </c>
      <c r="P7" s="7" t="str">
        <f>IFERROR(__xludf.DUMMYFUNCTION("""COMPUTED_VALUE"""),"?")</f>
        <v>?</v>
      </c>
      <c r="Q7" s="7" t="str">
        <f>IFERROR(__xludf.DUMMYFUNCTION("""COMPUTED_VALUE"""),"Jaikishan")</f>
        <v>Jaikishan</v>
      </c>
      <c r="R7" s="8">
        <f>IFERROR(__xludf.DUMMYFUNCTION("""COMPUTED_VALUE"""),43785.0)</f>
        <v>43785</v>
      </c>
      <c r="S7" s="7" t="str">
        <f>IFERROR(__xludf.DUMMYFUNCTION("""COMPUTED_VALUE"""),"")</f>
        <v/>
      </c>
      <c r="T7" s="7"/>
      <c r="U7" s="7"/>
      <c r="V7" s="7"/>
      <c r="W7" s="7"/>
      <c r="X7" s="7"/>
      <c r="Y7" s="7"/>
      <c r="Z7" s="7"/>
    </row>
    <row r="8">
      <c r="A8" s="7" t="str">
        <f>IFERROR(__xludf.DUMMYFUNCTION("""COMPUTED_VALUE"""),"TCM_dKosh_General_SMF1_028_070")</f>
        <v>TCM_dKosh_General_SMF1_028_070</v>
      </c>
      <c r="B8" s="7" t="str">
        <f>IFERROR(__xludf.DUMMYFUNCTION("""COMPUTED_VALUE"""),"TP_dKosh_General_SMF1_028")</f>
        <v>TP_dKosh_General_SMF1_028</v>
      </c>
      <c r="C8" s="7">
        <f>IFERROR(__xludf.DUMMYFUNCTION("""COMPUTED_VALUE"""),70.0)</f>
        <v>70</v>
      </c>
      <c r="D8" s="7" t="str">
        <f>IFERROR(__xludf.DUMMYFUNCTION("""COMPUTED_VALUE"""),"")</f>
        <v/>
      </c>
      <c r="E8" s="7" t="str">
        <f>IFERROR(__xludf.DUMMYFUNCTION("""COMPUTED_VALUE"""),"General")</f>
        <v>General</v>
      </c>
      <c r="F8" s="7" t="str">
        <f>IFERROR(__xludf.DUMMYFUNCTION("""COMPUTED_VALUE"""),"Manage Form -Status")</f>
        <v>Manage Form -Status</v>
      </c>
      <c r="G8" s="7" t="str">
        <f>IFERROR(__xludf.DUMMYFUNCTION("""COMPUTED_VALUE"""),"M")</f>
        <v>M</v>
      </c>
      <c r="H8" s="7" t="str">
        <f>IFERROR(__xludf.DUMMYFUNCTION("""COMPUTED_VALUE"""),"Aditya")</f>
        <v>Aditya</v>
      </c>
      <c r="I8" s="7" t="str">
        <f>IFERROR(__xludf.DUMMYFUNCTION("""COMPUTED_VALUE"""),"Functional")</f>
        <v>Functional</v>
      </c>
      <c r="J8" s="7" t="str">
        <f>IFERROR(__xludf.DUMMYFUNCTION("""COMPUTED_VALUE"""),"1. Creator/Modifier has permission to Change status of form.
2. Form should be editable(as per document status).
3. Atleast one form should be there in list(with Final status)")</f>
        <v>1. Creator/Modifier has permission to Change status of form.
2. Form should be editable(as per document status).
3. Atleast one form should be there in list(with Final status)</v>
      </c>
      <c r="K8" s="7" t="str">
        <f>IFERROR(__xludf.DUMMYFUNCTION("""COMPUTED_VALUE"""),"Verify 'Remark required' at the time of changing status from 'Final' to available next status as per defined in doc status.")</f>
        <v>Verify 'Remark required' at the time of changing status from 'Final' to available next status as per defined in doc status.</v>
      </c>
      <c r="L8" s="7" t="str">
        <f>IFERROR(__xludf.DUMMYFUNCTION("""COMPUTED_VALUE"""),"1. Go to manage form list.
2. Click on status windown of Final status's form.
4. Select Next available status as per doc status.
5. Click on save with out filling remarks.")</f>
        <v>1. Go to manage form list.
2. Click on status windown of Final status's form.
4. Select Next available status as per doc status.
5. Click on save with out filling remarks.</v>
      </c>
      <c r="M8" s="7" t="str">
        <f>IFERROR(__xludf.DUMMYFUNCTION("""COMPUTED_VALUE"""),"?")</f>
        <v>?</v>
      </c>
      <c r="N8" s="7" t="str">
        <f>IFERROR(__xludf.DUMMYFUNCTION("""COMPUTED_VALUE"""),"")</f>
        <v/>
      </c>
      <c r="O8" s="7" t="str">
        <f>IFERROR(__xludf.DUMMYFUNCTION("""COMPUTED_VALUE"""),"Remark not hide when change status.")</f>
        <v>Remark not hide when change status.</v>
      </c>
      <c r="P8" s="7" t="str">
        <f>IFERROR(__xludf.DUMMYFUNCTION("""COMPUTED_VALUE"""),"Fail")</f>
        <v>Fail</v>
      </c>
      <c r="Q8" s="7" t="str">
        <f>IFERROR(__xludf.DUMMYFUNCTION("""COMPUTED_VALUE"""),"Jaikishan")</f>
        <v>Jaikishan</v>
      </c>
      <c r="R8" s="8">
        <f>IFERROR(__xludf.DUMMYFUNCTION("""COMPUTED_VALUE"""),43785.0)</f>
        <v>43785</v>
      </c>
      <c r="S8" s="7" t="str">
        <f>IFERROR(__xludf.DUMMYFUNCTION("""COMPUTED_VALUE"""),"")</f>
        <v/>
      </c>
      <c r="T8" s="7"/>
      <c r="U8" s="7"/>
      <c r="V8" s="7"/>
      <c r="W8" s="7"/>
      <c r="X8" s="7"/>
      <c r="Y8" s="7"/>
      <c r="Z8" s="7"/>
    </row>
    <row r="9">
      <c r="A9" s="7" t="str">
        <f>IFERROR(__xludf.DUMMYFUNCTION("""COMPUTED_VALUE"""),"TCM_dKosh_General_SMF1_006_087")</f>
        <v>TCM_dKosh_General_SMF1_006_087</v>
      </c>
      <c r="B9" s="7" t="str">
        <f>IFERROR(__xludf.DUMMYFUNCTION("""COMPUTED_VALUE"""),"TP_dKosh_General_SMF1_006")</f>
        <v>TP_dKosh_General_SMF1_006</v>
      </c>
      <c r="C9" s="7">
        <f>IFERROR(__xludf.DUMMYFUNCTION("""COMPUTED_VALUE"""),87.0)</f>
        <v>87</v>
      </c>
      <c r="D9" s="7" t="str">
        <f>IFERROR(__xludf.DUMMYFUNCTION("""COMPUTED_VALUE"""),"")</f>
        <v/>
      </c>
      <c r="E9" s="7" t="str">
        <f>IFERROR(__xludf.DUMMYFUNCTION("""COMPUTED_VALUE"""),"General")</f>
        <v>General</v>
      </c>
      <c r="F9" s="7" t="str">
        <f>IFERROR(__xludf.DUMMYFUNCTION("""COMPUTED_VALUE"""),"Delete Form")</f>
        <v>Delete Form</v>
      </c>
      <c r="G9" s="7" t="str">
        <f>IFERROR(__xludf.DUMMYFUNCTION("""COMPUTED_VALUE"""),"M")</f>
        <v>M</v>
      </c>
      <c r="H9" s="7" t="str">
        <f>IFERROR(__xludf.DUMMYFUNCTION("""COMPUTED_VALUE"""),"Aditya")</f>
        <v>Aditya</v>
      </c>
      <c r="I9" s="7" t="str">
        <f>IFERROR(__xludf.DUMMYFUNCTION("""COMPUTED_VALUE"""),"Functional")</f>
        <v>Functional</v>
      </c>
      <c r="J9" s="7" t="str">
        <f>IFERROR(__xludf.DUMMYFUNCTION("""COMPUTED_VALUE"""),"1. Form must be created(With New Status)
2. User has permission of 'Delete' form.")</f>
        <v>1. Form must be created(With New Status)
2. User has permission of 'Delete' form.</v>
      </c>
      <c r="K9" s="7" t="str">
        <f>IFERROR(__xludf.DUMMYFUNCTION("""COMPUTED_VALUE"""),"Verify, Forms with 'New' status can be deleted by form creator/modifier.")</f>
        <v>Verify, Forms with 'New' status can be deleted by form creator/modifier.</v>
      </c>
      <c r="L9" s="7" t="str">
        <f>IFERROR(__xludf.DUMMYFUNCTION("""COMPUTED_VALUE"""),"1. Go to manage form list.
2. Click on action icon of any form wih 'New' status.
3. Click on 'Delete'.")</f>
        <v>1. Go to manage form list.
2. Click on action icon of any form wih 'New' status.
3. Click on 'Delete'.</v>
      </c>
      <c r="M9" s="7" t="str">
        <f>IFERROR(__xludf.DUMMYFUNCTION("""COMPUTED_VALUE"""),"1. Popup window should be open to confirm delete action with message 'Would you like to delete this form"" 
2. If user select 'Yes' then form should be deleted with its mapped information and if user select 'No', popup should be closed without deleting th"&amp;"e form.")</f>
        <v>1. Popup window should be open to confirm delete action with message 'Would you like to delete this form" 
2. If user select 'Yes' then form should be deleted with its mapped information and if user select 'No', popup should be closed without deleting the form.</v>
      </c>
      <c r="N9" s="7" t="str">
        <f>IFERROR(__xludf.DUMMYFUNCTION("""COMPUTED_VALUE"""),"if form status is New (Draft) or No responses have been received then form deleted. Otherwise, display Form Deletion Warning""")</f>
        <v>if form status is New (Draft) or No responses have been received then form deleted. Otherwise, display Form Deletion Warning"</v>
      </c>
      <c r="O9" s="7" t="str">
        <f>IFERROR(__xludf.DUMMYFUNCTION("""COMPUTED_VALUE"""),"Form deleted with no responses, But white page open with same id in url.")</f>
        <v>Form deleted with no responses, But white page open with same id in url.</v>
      </c>
      <c r="P9" s="7" t="str">
        <f>IFERROR(__xludf.DUMMYFUNCTION("""COMPUTED_VALUE"""),"Fail")</f>
        <v>Fail</v>
      </c>
      <c r="Q9" s="7" t="str">
        <f>IFERROR(__xludf.DUMMYFUNCTION("""COMPUTED_VALUE"""),"Jaikishan")</f>
        <v>Jaikishan</v>
      </c>
      <c r="R9" s="8">
        <f>IFERROR(__xludf.DUMMYFUNCTION("""COMPUTED_VALUE"""),43784.0)</f>
        <v>43784</v>
      </c>
      <c r="S9" s="7" t="str">
        <f>IFERROR(__xludf.DUMMYFUNCTION("""COMPUTED_VALUE"""),"")</f>
        <v/>
      </c>
      <c r="T9" s="7"/>
      <c r="U9" s="7"/>
      <c r="V9" s="7"/>
      <c r="W9" s="7"/>
      <c r="X9" s="7"/>
      <c r="Y9" s="7"/>
      <c r="Z9" s="7"/>
    </row>
    <row r="10">
      <c r="A10" s="7" t="str">
        <f>IFERROR(__xludf.DUMMYFUNCTION("""COMPUTED_VALUE"""),"TCM_dKosh_General_SMF1_006_088")</f>
        <v>TCM_dKosh_General_SMF1_006_088</v>
      </c>
      <c r="B10" s="7" t="str">
        <f>IFERROR(__xludf.DUMMYFUNCTION("""COMPUTED_VALUE"""),"TP_dKosh_General_SMF1_006")</f>
        <v>TP_dKosh_General_SMF1_006</v>
      </c>
      <c r="C10" s="7">
        <f>IFERROR(__xludf.DUMMYFUNCTION("""COMPUTED_VALUE"""),88.0)</f>
        <v>88</v>
      </c>
      <c r="D10" s="7" t="str">
        <f>IFERROR(__xludf.DUMMYFUNCTION("""COMPUTED_VALUE"""),"")</f>
        <v/>
      </c>
      <c r="E10" s="7" t="str">
        <f>IFERROR(__xludf.DUMMYFUNCTION("""COMPUTED_VALUE"""),"General")</f>
        <v>General</v>
      </c>
      <c r="F10" s="7" t="str">
        <f>IFERROR(__xludf.DUMMYFUNCTION("""COMPUTED_VALUE"""),"Delete Form")</f>
        <v>Delete Form</v>
      </c>
      <c r="G10" s="7" t="str">
        <f>IFERROR(__xludf.DUMMYFUNCTION("""COMPUTED_VALUE"""),"M")</f>
        <v>M</v>
      </c>
      <c r="H10" s="7" t="str">
        <f>IFERROR(__xludf.DUMMYFUNCTION("""COMPUTED_VALUE"""),"Aditya")</f>
        <v>Aditya</v>
      </c>
      <c r="I10" s="7" t="str">
        <f>IFERROR(__xludf.DUMMYFUNCTION("""COMPUTED_VALUE"""),"Functional")</f>
        <v>Functional</v>
      </c>
      <c r="J10" s="7" t="str">
        <f>IFERROR(__xludf.DUMMYFUNCTION("""COMPUTED_VALUE"""),"1. Form must be created.
2. User has permission of 'Delete' form.
3. Form has no responses.")</f>
        <v>1. Form must be created.
2. User has permission of 'Delete' form.
3. Form has no responses.</v>
      </c>
      <c r="K10" s="7" t="str">
        <f>IFERROR(__xludf.DUMMYFUNCTION("""COMPUTED_VALUE"""),"Verify, Form, which has status ""On Hold or Inactive or Closed"" and  no responses, can be deleted by form creator/modifier.")</f>
        <v>Verify, Form, which has status "On Hold or Inactive or Closed" and  no responses, can be deleted by form creator/modifier.</v>
      </c>
      <c r="L10" s="7" t="str">
        <f>IFERROR(__xludf.DUMMYFUNCTION("""COMPUTED_VALUE"""),"1. Go to manage form list.
2. Click on action icon of any form.
3. Click on 'Delete'.")</f>
        <v>1. Go to manage form list.
2. Click on action icon of any form.
3. Click on 'Delete'.</v>
      </c>
      <c r="M10" s="7" t="str">
        <f>IFERROR(__xludf.DUMMYFUNCTION("""COMPUTED_VALUE"""),"1. Popup window should be open to confirm delete action with message 'Would you like to delete this form"" 
2. If user select 'Yes' then form should be deleted otherwise popup should be closed without deleting the form.")</f>
        <v>1. Popup window should be open to confirm delete action with message 'Would you like to delete this form" 
2. If user select 'Yes' then form should be deleted otherwise popup should be closed without deleting the form.</v>
      </c>
      <c r="N10" s="7" t="str">
        <f>IFERROR(__xludf.DUMMYFUNCTION("""COMPUTED_VALUE"""),"")</f>
        <v/>
      </c>
      <c r="O10" s="7" t="str">
        <f>IFERROR(__xludf.DUMMYFUNCTION("""COMPUTED_VALUE"""),"Form with On Hold status deleted but showing SQL error message.")</f>
        <v>Form with On Hold status deleted but showing SQL error message.</v>
      </c>
      <c r="P10" s="7" t="str">
        <f>IFERROR(__xludf.DUMMYFUNCTION("""COMPUTED_VALUE"""),"Fail")</f>
        <v>Fail</v>
      </c>
      <c r="Q10" s="7" t="str">
        <f>IFERROR(__xludf.DUMMYFUNCTION("""COMPUTED_VALUE"""),"Jaikishan")</f>
        <v>Jaikishan</v>
      </c>
      <c r="R10" s="8">
        <f>IFERROR(__xludf.DUMMYFUNCTION("""COMPUTED_VALUE"""),43784.0)</f>
        <v>43784</v>
      </c>
      <c r="S10" s="7" t="str">
        <f>IFERROR(__xludf.DUMMYFUNCTION("""COMPUTED_VALUE"""),"")</f>
        <v/>
      </c>
      <c r="T10" s="7"/>
      <c r="U10" s="7"/>
      <c r="V10" s="7"/>
      <c r="W10" s="7"/>
      <c r="X10" s="7"/>
      <c r="Y10" s="7"/>
      <c r="Z10" s="7"/>
    </row>
    <row r="11">
      <c r="A11" s="7" t="str">
        <f>IFERROR(__xludf.DUMMYFUNCTION("""COMPUTED_VALUE"""),"TCM_dKosh_General_SMF1_006_089")</f>
        <v>TCM_dKosh_General_SMF1_006_089</v>
      </c>
      <c r="B11" s="7" t="str">
        <f>IFERROR(__xludf.DUMMYFUNCTION("""COMPUTED_VALUE"""),"TP_dKosh_General_SMF1_006")</f>
        <v>TP_dKosh_General_SMF1_006</v>
      </c>
      <c r="C11" s="7">
        <f>IFERROR(__xludf.DUMMYFUNCTION("""COMPUTED_VALUE"""),89.0)</f>
        <v>89</v>
      </c>
      <c r="D11" s="7" t="str">
        <f>IFERROR(__xludf.DUMMYFUNCTION("""COMPUTED_VALUE"""),"")</f>
        <v/>
      </c>
      <c r="E11" s="7" t="str">
        <f>IFERROR(__xludf.DUMMYFUNCTION("""COMPUTED_VALUE"""),"General")</f>
        <v>General</v>
      </c>
      <c r="F11" s="7" t="str">
        <f>IFERROR(__xludf.DUMMYFUNCTION("""COMPUTED_VALUE"""),"Delete Form")</f>
        <v>Delete Form</v>
      </c>
      <c r="G11" s="7" t="str">
        <f>IFERROR(__xludf.DUMMYFUNCTION("""COMPUTED_VALUE"""),"M")</f>
        <v>M</v>
      </c>
      <c r="H11" s="7" t="str">
        <f>IFERROR(__xludf.DUMMYFUNCTION("""COMPUTED_VALUE"""),"Aditya")</f>
        <v>Aditya</v>
      </c>
      <c r="I11" s="7" t="str">
        <f>IFERROR(__xludf.DUMMYFUNCTION("""COMPUTED_VALUE"""),"Functional")</f>
        <v>Functional</v>
      </c>
      <c r="J11" s="7" t="str">
        <f>IFERROR(__xludf.DUMMYFUNCTION("""COMPUTED_VALUE"""),"1. Form must be created.
2. User has permission of 'Delete' form.
3. Form has one or more than one responses.")</f>
        <v>1. Form must be created.
2. User has permission of 'Delete' form.
3. Form has one or more than one responses.</v>
      </c>
      <c r="K11" s="7" t="str">
        <f>IFERROR(__xludf.DUMMYFUNCTION("""COMPUTED_VALUE"""),"Verify, Form, which has status ""On Hold or Inactive or Closed"" and one or more responses, can be deleted by form creator/modifier.")</f>
        <v>Verify, Form, which has status "On Hold or Inactive or Closed" and one or more responses, can be deleted by form creator/modifier.</v>
      </c>
      <c r="L11" s="7" t="str">
        <f>IFERROR(__xludf.DUMMYFUNCTION("""COMPUTED_VALUE"""),"1. Go to manage form list.
2. Click on action icon of any form.
3. Click on 'Delete'.")</f>
        <v>1. Go to manage form list.
2. Click on action icon of any form.
3. Click on 'Delete'.</v>
      </c>
      <c r="M11" s="7" t="str">
        <f>IFERROR(__xludf.DUMMYFUNCTION("""COMPUTED_VALUE"""),"There should be shown alert popup message like ""User responses exists for this form. Deleting form would delete its responses also. You can mark it as Closed to keep the responses. What do you want to do?""")</f>
        <v>There should be shown alert popup message like "User responses exists for this form. Deleting form would delete its responses also. You can mark it as Closed to keep the responses. What do you want to do?"</v>
      </c>
      <c r="N11" s="7" t="str">
        <f>IFERROR(__xludf.DUMMYFUNCTION("""COMPUTED_VALUE"""),"")</f>
        <v/>
      </c>
      <c r="O11" s="7" t="str">
        <f>IFERROR(__xludf.DUMMYFUNCTION("""COMPUTED_VALUE"""),"Redirect to blank page with same form id.")</f>
        <v>Redirect to blank page with same form id.</v>
      </c>
      <c r="P11" s="7" t="str">
        <f>IFERROR(__xludf.DUMMYFUNCTION("""COMPUTED_VALUE"""),"Fail")</f>
        <v>Fail</v>
      </c>
      <c r="Q11" s="7" t="str">
        <f>IFERROR(__xludf.DUMMYFUNCTION("""COMPUTED_VALUE"""),"Jaikishan")</f>
        <v>Jaikishan</v>
      </c>
      <c r="R11" s="8">
        <f>IFERROR(__xludf.DUMMYFUNCTION("""COMPUTED_VALUE"""),43785.0)</f>
        <v>43785</v>
      </c>
      <c r="S11" s="7" t="str">
        <f>IFERROR(__xludf.DUMMYFUNCTION("""COMPUTED_VALUE"""),"")</f>
        <v/>
      </c>
      <c r="T11" s="7"/>
      <c r="U11" s="7"/>
      <c r="V11" s="7"/>
      <c r="W11" s="7"/>
      <c r="X11" s="7"/>
      <c r="Y11" s="7"/>
      <c r="Z11" s="7"/>
    </row>
    <row r="12">
      <c r="A12" s="7" t="str">
        <f>IFERROR(__xludf.DUMMYFUNCTION("""COMPUTED_VALUE"""),"TCM_dKosh_General_SMF1_006_092")</f>
        <v>TCM_dKosh_General_SMF1_006_092</v>
      </c>
      <c r="B12" s="7" t="str">
        <f>IFERROR(__xludf.DUMMYFUNCTION("""COMPUTED_VALUE"""),"TP_dKosh_General_SMF1_006")</f>
        <v>TP_dKosh_General_SMF1_006</v>
      </c>
      <c r="C12" s="7">
        <f>IFERROR(__xludf.DUMMYFUNCTION("""COMPUTED_VALUE"""),92.0)</f>
        <v>92</v>
      </c>
      <c r="D12" s="7" t="str">
        <f>IFERROR(__xludf.DUMMYFUNCTION("""COMPUTED_VALUE"""),"")</f>
        <v/>
      </c>
      <c r="E12" s="7" t="str">
        <f>IFERROR(__xludf.DUMMYFUNCTION("""COMPUTED_VALUE"""),"General")</f>
        <v>General</v>
      </c>
      <c r="F12" s="7" t="str">
        <f>IFERROR(__xludf.DUMMYFUNCTION("""COMPUTED_VALUE"""),"Delete Form")</f>
        <v>Delete Form</v>
      </c>
      <c r="G12" s="7" t="str">
        <f>IFERROR(__xludf.DUMMYFUNCTION("""COMPUTED_VALUE"""),"M")</f>
        <v>M</v>
      </c>
      <c r="H12" s="7" t="str">
        <f>IFERROR(__xludf.DUMMYFUNCTION("""COMPUTED_VALUE"""),"Aditya")</f>
        <v>Aditya</v>
      </c>
      <c r="I12" s="7" t="str">
        <f>IFERROR(__xludf.DUMMYFUNCTION("""COMPUTED_VALUE"""),"Functional")</f>
        <v>Functional</v>
      </c>
      <c r="J12" s="7" t="str">
        <f>IFERROR(__xludf.DUMMYFUNCTION("""COMPUTED_VALUE"""),"1. Form must be created(With New Status)
2. User has permission of 'Delete' form.
.")</f>
        <v>1. Form must be created(With New Status)
2. User has permission of 'Delete' form.
.</v>
      </c>
      <c r="K12" s="7" t="str">
        <f>IFERROR(__xludf.DUMMYFUNCTION("""COMPUTED_VALUE"""),"Verify, acknowledge message after deleting form.")</f>
        <v>Verify, acknowledge message after deleting form.</v>
      </c>
      <c r="L12" s="7" t="str">
        <f>IFERROR(__xludf.DUMMYFUNCTION("""COMPUTED_VALUE"""),"1. Go to manage form list.
2. Click on action icon of any form with 'New' status and no responses mapped.
3. Click on 'Delete'.")</f>
        <v>1. Go to manage form list.
2. Click on action icon of any form with 'New' status and no responses mapped.
3. Click on 'Delete'.</v>
      </c>
      <c r="M12" s="7" t="str">
        <f>IFERROR(__xludf.DUMMYFUNCTION("""COMPUTED_VALUE"""),"Form should be deleted with acknowledge message like 'Form has been deleted successfully.'")</f>
        <v>Form should be deleted with acknowledge message like 'Form has been deleted successfully.'</v>
      </c>
      <c r="N12" s="7" t="str">
        <f>IFERROR(__xludf.DUMMYFUNCTION("""COMPUTED_VALUE"""),"")</f>
        <v/>
      </c>
      <c r="O12" s="7" t="str">
        <f>IFERROR(__xludf.DUMMYFUNCTION("""COMPUTED_VALUE"""),"Show blank white page and when move previous showing exception")</f>
        <v>Show blank white page and when move previous showing exception</v>
      </c>
      <c r="P12" s="7" t="str">
        <f>IFERROR(__xludf.DUMMYFUNCTION("""COMPUTED_VALUE"""),"Fail")</f>
        <v>Fail</v>
      </c>
      <c r="Q12" s="7" t="str">
        <f>IFERROR(__xludf.DUMMYFUNCTION("""COMPUTED_VALUE"""),"Jaikishan")</f>
        <v>Jaikishan</v>
      </c>
      <c r="R12" s="8">
        <f>IFERROR(__xludf.DUMMYFUNCTION("""COMPUTED_VALUE"""),43785.0)</f>
        <v>43785</v>
      </c>
      <c r="S12" s="7" t="str">
        <f>IFERROR(__xludf.DUMMYFUNCTION("""COMPUTED_VALUE"""),"")</f>
        <v/>
      </c>
      <c r="T12" s="7"/>
      <c r="U12" s="7"/>
      <c r="V12" s="7"/>
      <c r="W12" s="7"/>
      <c r="X12" s="7"/>
      <c r="Y12" s="7"/>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row r="14">
      <c r="A14" s="7"/>
      <c r="B14" s="7"/>
      <c r="C14" s="7"/>
      <c r="D14" s="7"/>
      <c r="E14" s="7"/>
      <c r="F14" s="7"/>
      <c r="G14" s="7"/>
      <c r="H14" s="7"/>
      <c r="I14" s="7"/>
      <c r="J14" s="7"/>
      <c r="K14" s="7"/>
      <c r="L14" s="7"/>
      <c r="M14" s="7"/>
      <c r="N14" s="7"/>
      <c r="O14" s="7"/>
      <c r="P14" s="7"/>
      <c r="Q14" s="7"/>
      <c r="R14" s="7"/>
      <c r="S14" s="7"/>
      <c r="T14" s="7"/>
      <c r="U14" s="7"/>
      <c r="V14" s="7"/>
      <c r="W14" s="7"/>
      <c r="X14" s="7"/>
      <c r="Y14" s="7"/>
      <c r="Z14" s="7"/>
    </row>
    <row r="15">
      <c r="A15" s="7"/>
      <c r="B15" s="7"/>
      <c r="C15" s="7"/>
      <c r="D15" s="7"/>
      <c r="E15" s="7"/>
      <c r="F15" s="7"/>
      <c r="G15" s="7"/>
      <c r="H15" s="7"/>
      <c r="I15" s="7"/>
      <c r="J15" s="7"/>
      <c r="K15" s="7"/>
      <c r="L15" s="7"/>
      <c r="M15" s="7"/>
      <c r="N15" s="7"/>
      <c r="O15" s="7"/>
      <c r="P15" s="7"/>
      <c r="Q15" s="7"/>
      <c r="R15" s="7"/>
      <c r="S15" s="7"/>
      <c r="T15" s="7"/>
      <c r="U15" s="7"/>
      <c r="V15" s="7"/>
      <c r="W15" s="7"/>
      <c r="X15" s="7"/>
      <c r="Y15" s="7"/>
      <c r="Z15" s="7"/>
    </row>
    <row r="16">
      <c r="A16" s="7"/>
      <c r="B16" s="7"/>
      <c r="C16" s="7"/>
      <c r="D16" s="7"/>
      <c r="E16" s="7"/>
      <c r="F16" s="7"/>
      <c r="G16" s="7"/>
      <c r="H16" s="7"/>
      <c r="I16" s="7"/>
      <c r="J16" s="7"/>
      <c r="K16" s="7"/>
      <c r="L16" s="7"/>
      <c r="M16" s="7"/>
      <c r="N16" s="7"/>
      <c r="O16" s="7"/>
      <c r="P16" s="7"/>
      <c r="Q16" s="7"/>
      <c r="R16" s="7"/>
      <c r="S16" s="7"/>
      <c r="T16" s="7"/>
      <c r="U16" s="7"/>
      <c r="V16" s="7"/>
      <c r="W16" s="7"/>
      <c r="X16" s="7"/>
      <c r="Y16" s="7"/>
      <c r="Z16" s="7"/>
    </row>
    <row r="17">
      <c r="A17" s="7"/>
      <c r="B17" s="7"/>
      <c r="C17" s="7"/>
      <c r="D17" s="7"/>
      <c r="E17" s="7"/>
      <c r="F17" s="7"/>
      <c r="G17" s="7"/>
      <c r="H17" s="7"/>
      <c r="I17" s="7"/>
      <c r="J17" s="7"/>
      <c r="K17" s="7"/>
      <c r="L17" s="7"/>
      <c r="M17" s="7"/>
      <c r="N17" s="7"/>
      <c r="O17" s="7"/>
      <c r="P17" s="7"/>
      <c r="Q17" s="7"/>
      <c r="R17" s="7"/>
      <c r="S17" s="7"/>
      <c r="T17" s="7"/>
      <c r="U17" s="7"/>
      <c r="V17" s="7"/>
      <c r="W17" s="7"/>
      <c r="X17" s="7"/>
      <c r="Y17" s="7"/>
      <c r="Z17" s="7"/>
    </row>
    <row r="18">
      <c r="A18" s="7"/>
      <c r="B18" s="7"/>
      <c r="C18" s="7"/>
      <c r="D18" s="7"/>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conditionalFormatting sqref="P1:P1000">
    <cfRule type="containsText" dxfId="0" priority="1" operator="containsText" text="Pass">
      <formula>NOT(ISERROR(SEARCH(("Pass"),(P1))))</formula>
    </cfRule>
  </conditionalFormatting>
  <conditionalFormatting sqref="P1:P1000">
    <cfRule type="containsText" dxfId="1" priority="2" operator="containsText" text="Fail">
      <formula>NOT(ISERROR(SEARCH(("Fail"),(P1))))</formula>
    </cfRule>
  </conditionalFormatting>
  <conditionalFormatting sqref="P1:P1000">
    <cfRule type="containsText" dxfId="2" priority="3" operator="containsText" text="?">
      <formula>NOT(ISERROR(SEARCH(("?"),(P1))))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9.0"/>
    <col customWidth="1" min="2" max="2" width="23.14"/>
    <col customWidth="1" min="3" max="3" width="11.0"/>
    <col customWidth="1" min="4" max="4" width="13.57"/>
    <col customWidth="1" min="7" max="7" width="12.0"/>
    <col customWidth="1" min="8" max="8" width="12.29"/>
    <col customWidth="1" min="9" max="9" width="11.86"/>
    <col customWidth="1" hidden="1" min="10" max="10" width="26.0"/>
    <col customWidth="1" min="11" max="11" width="29.14"/>
    <col customWidth="1" hidden="1" min="12" max="12" width="32.71"/>
    <col customWidth="1" min="13" max="13" width="26.71"/>
    <col hidden="1" min="14" max="14" width="14.43"/>
    <col customWidth="1" min="15" max="15" width="29.0"/>
  </cols>
  <sheetData>
    <row r="1">
      <c r="A1" s="1" t="str">
        <f>IFERROR(__xludf.DUMMYFUNCTION("Query(IMPORTRANGE(""https://docs.google.com/spreadsheets/d/1jEbAG0bEllXTKAGJlqI8FhpDdA5pI2ez4m_dRKlp78w/edit#gid=489175262"", ""TC- Section Mgmt!A:S""), ""select* where Col16= 'Fail' OR Col16= '?'"")"),"Test Case ID")</f>
        <v>Test Case ID</v>
      </c>
      <c r="B1" s="2" t="str">
        <f>IFERROR(__xludf.DUMMYFUNCTION("""COMPUTED_VALUE"""),"Test Plan ID")</f>
        <v>Test Plan ID</v>
      </c>
      <c r="C1" s="2" t="str">
        <f>IFERROR(__xludf.DUMMYFUNCTION("""COMPUTED_VALUE"""),"TC #")</f>
        <v>TC #</v>
      </c>
      <c r="D1" s="2" t="str">
        <f>IFERROR(__xludf.DUMMYFUNCTION("""COMPUTED_VALUE"""),"Platform")</f>
        <v>Platform</v>
      </c>
      <c r="E1" s="2" t="str">
        <f>IFERROR(__xludf.DUMMYFUNCTION("""COMPUTED_VALUE"""),"Sub Module Features")</f>
        <v>Sub Module Features</v>
      </c>
      <c r="F1" s="2" t="str">
        <f>IFERROR(__xludf.DUMMYFUNCTION("""COMPUTED_VALUE"""),"Action")</f>
        <v>Action</v>
      </c>
      <c r="G1" s="2" t="str">
        <f>IFERROR(__xludf.DUMMYFUNCTION("""COMPUTED_VALUE"""),"Test Mode")</f>
        <v>Test Mode</v>
      </c>
      <c r="H1" s="2" t="str">
        <f>IFERROR(__xludf.DUMMYFUNCTION("""COMPUTED_VALUE"""),"Created By")</f>
        <v>Created By</v>
      </c>
      <c r="I1" s="2" t="str">
        <f>IFERROR(__xludf.DUMMYFUNCTION("""COMPUTED_VALUE"""),"Test Case Type")</f>
        <v>Test Case Type</v>
      </c>
      <c r="J1" s="2" t="str">
        <f>IFERROR(__xludf.DUMMYFUNCTION("""COMPUTED_VALUE"""),"Pre Condition")</f>
        <v>Pre Condition</v>
      </c>
      <c r="K1" s="2" t="str">
        <f>IFERROR(__xludf.DUMMYFUNCTION("""COMPUTED_VALUE"""),"Test Case Description")</f>
        <v>Test Case Description</v>
      </c>
      <c r="L1" s="2" t="str">
        <f>IFERROR(__xludf.DUMMYFUNCTION("""COMPUTED_VALUE"""),"Steps")</f>
        <v>Steps</v>
      </c>
      <c r="M1" s="2" t="str">
        <f>IFERROR(__xludf.DUMMYFUNCTION("""COMPUTED_VALUE"""),"Expected Result")</f>
        <v>Expected Result</v>
      </c>
      <c r="N1" s="2" t="str">
        <f>IFERROR(__xludf.DUMMYFUNCTION("""COMPUTED_VALUE"""),"Conditions / Formula / Query")</f>
        <v>Conditions / Formula / Query</v>
      </c>
      <c r="O1" s="2" t="str">
        <f>IFERROR(__xludf.DUMMYFUNCTION("""COMPUTED_VALUE"""),"Actual Result")</f>
        <v>Actual Result</v>
      </c>
      <c r="P1" s="2" t="str">
        <f>IFERROR(__xludf.DUMMYFUNCTION("""COMPUTED_VALUE"""),"Pass/Fail")</f>
        <v>Pass/Fail</v>
      </c>
      <c r="Q1" s="2" t="str">
        <f>IFERROR(__xludf.DUMMYFUNCTION("""COMPUTED_VALUE"""),"Executed By")</f>
        <v>Executed By</v>
      </c>
      <c r="R1" s="2" t="str">
        <f>IFERROR(__xludf.DUMMYFUNCTION("""COMPUTED_VALUE"""),"Date Execution")</f>
        <v>Date Execution</v>
      </c>
      <c r="S1" s="2" t="str">
        <f>IFERROR(__xludf.DUMMYFUNCTION("""COMPUTED_VALUE"""),"Release")</f>
        <v>Release</v>
      </c>
      <c r="T1" s="5" t="s">
        <v>0</v>
      </c>
      <c r="U1" s="5" t="s">
        <v>1</v>
      </c>
      <c r="V1" s="7"/>
      <c r="W1" s="7"/>
      <c r="X1" s="7"/>
      <c r="Y1" s="7"/>
      <c r="Z1" s="7"/>
    </row>
    <row r="2">
      <c r="A2" s="7" t="str">
        <f>IFERROR(__xludf.DUMMYFUNCTION("""COMPUTED_VALUE"""),"TCM_dKosh_General_SMF1_009_003")</f>
        <v>TCM_dKosh_General_SMF1_009_003</v>
      </c>
      <c r="B2" s="7" t="str">
        <f>IFERROR(__xludf.DUMMYFUNCTION("""COMPUTED_VALUE"""),"TP_dKosh_General_SMF1_009")</f>
        <v>TP_dKosh_General_SMF1_009</v>
      </c>
      <c r="C2" s="7">
        <f>IFERROR(__xludf.DUMMYFUNCTION("""COMPUTED_VALUE"""),3.0)</f>
        <v>3</v>
      </c>
      <c r="D2" s="7" t="str">
        <f>IFERROR(__xludf.DUMMYFUNCTION("""COMPUTED_VALUE"""),"Web, Mobile")</f>
        <v>Web, Mobile</v>
      </c>
      <c r="E2" s="7" t="str">
        <f>IFERROR(__xludf.DUMMYFUNCTION("""COMPUTED_VALUE"""),"General")</f>
        <v>General</v>
      </c>
      <c r="F2" s="7" t="str">
        <f>IFERROR(__xludf.DUMMYFUNCTION("""COMPUTED_VALUE"""),"Add Section")</f>
        <v>Add Section</v>
      </c>
      <c r="G2" s="7" t="str">
        <f>IFERROR(__xludf.DUMMYFUNCTION("""COMPUTED_VALUE"""),"M")</f>
        <v>M</v>
      </c>
      <c r="H2" s="7" t="str">
        <f>IFERROR(__xludf.DUMMYFUNCTION("""COMPUTED_VALUE"""),"Jaikishan")</f>
        <v>Jaikishan</v>
      </c>
      <c r="I2" s="7" t="str">
        <f>IFERROR(__xludf.DUMMYFUNCTION("""COMPUTED_VALUE"""),"UI")</f>
        <v>UI</v>
      </c>
      <c r="J2" s="7" t="str">
        <f>IFERROR(__xludf.DUMMYFUNCTION("""COMPUTED_VALUE"""),"1. Form must be created.
2. User has permission of 'Create section'.")</f>
        <v>1. Form must be created.
2. User has permission of 'Create section'.</v>
      </c>
      <c r="K2" s="7" t="str">
        <f>IFERROR(__xludf.DUMMYFUNCTION("""COMPUTED_VALUE"""),"Verify, Caption, Placeholder, Control type and default value of 'Section Name' field.")</f>
        <v>Verify, Caption, Placeholder, Control type and default value of 'Section Name' field.</v>
      </c>
      <c r="L2" s="7" t="str">
        <f>IFERROR(__xludf.DUMMYFUNCTION("""COMPUTED_VALUE"""),"1. Go to manage form list.
2. Click on List Action.
3. Click on ""Modify Form""
4. Click on ""Add Another Section""")</f>
        <v>1. Go to manage form list.
2. Click on List Action.
3. Click on "Modify Form"
4. Click on "Add Another Section"</v>
      </c>
      <c r="M2" s="7" t="str">
        <f>IFERROR(__xludf.DUMMYFUNCTION("""COMPUTED_VALUE"""),"Caption : Section Name
Place Holder : --
Control Type : Textbox 
Default Value : --
")</f>
        <v>Caption : Section Name
Place Holder : --
Control Type : Textbox 
Default Value : --
</v>
      </c>
      <c r="N2" s="7" t="str">
        <f>IFERROR(__xludf.DUMMYFUNCTION("""COMPUTED_VALUE"""),"")</f>
        <v/>
      </c>
      <c r="O2" s="7" t="str">
        <f>IFERROR(__xludf.DUMMYFUNCTION("""COMPUTED_VALUE"""),"Caption not matched.")</f>
        <v>Caption not matched.</v>
      </c>
      <c r="P2" s="7" t="str">
        <f>IFERROR(__xludf.DUMMYFUNCTION("""COMPUTED_VALUE"""),"Fail")</f>
        <v>Fail</v>
      </c>
      <c r="Q2" s="7" t="str">
        <f>IFERROR(__xludf.DUMMYFUNCTION("""COMPUTED_VALUE"""),"Omkar")</f>
        <v>Omkar</v>
      </c>
      <c r="R2" s="8">
        <f>IFERROR(__xludf.DUMMYFUNCTION("""COMPUTED_VALUE"""),43795.0)</f>
        <v>43795</v>
      </c>
      <c r="S2" s="7" t="str">
        <f>IFERROR(__xludf.DUMMYFUNCTION("""COMPUTED_VALUE"""),"")</f>
        <v/>
      </c>
      <c r="T2" s="7"/>
      <c r="U2" s="7"/>
      <c r="V2" s="7"/>
      <c r="W2" s="7"/>
      <c r="X2" s="7"/>
      <c r="Y2" s="7"/>
      <c r="Z2" s="7"/>
    </row>
    <row r="3">
      <c r="A3" s="7" t="str">
        <f>IFERROR(__xludf.DUMMYFUNCTION("""COMPUTED_VALUE"""),"TCA_dKosh_General_SMF1_009_006")</f>
        <v>TCA_dKosh_General_SMF1_009_006</v>
      </c>
      <c r="B3" s="7" t="str">
        <f>IFERROR(__xludf.DUMMYFUNCTION("""COMPUTED_VALUE"""),"TP_dKosh_General_SMF1_009")</f>
        <v>TP_dKosh_General_SMF1_009</v>
      </c>
      <c r="C3" s="7">
        <f>IFERROR(__xludf.DUMMYFUNCTION("""COMPUTED_VALUE"""),6.0)</f>
        <v>6</v>
      </c>
      <c r="D3" s="7" t="str">
        <f>IFERROR(__xludf.DUMMYFUNCTION("""COMPUTED_VALUE"""),"Web, Mobile")</f>
        <v>Web, Mobile</v>
      </c>
      <c r="E3" s="7" t="str">
        <f>IFERROR(__xludf.DUMMYFUNCTION("""COMPUTED_VALUE"""),"General")</f>
        <v>General</v>
      </c>
      <c r="F3" s="7" t="str">
        <f>IFERROR(__xludf.DUMMYFUNCTION("""COMPUTED_VALUE"""),"Add Section")</f>
        <v>Add Section</v>
      </c>
      <c r="G3" s="7" t="str">
        <f>IFERROR(__xludf.DUMMYFUNCTION("""COMPUTED_VALUE"""),"A")</f>
        <v>A</v>
      </c>
      <c r="H3" s="7" t="str">
        <f>IFERROR(__xludf.DUMMYFUNCTION("""COMPUTED_VALUE"""),"Jaikishan")</f>
        <v>Jaikishan</v>
      </c>
      <c r="I3" s="7" t="str">
        <f>IFERROR(__xludf.DUMMYFUNCTION("""COMPUTED_VALUE"""),"Validation")</f>
        <v>Validation</v>
      </c>
      <c r="J3" s="7" t="str">
        <f>IFERROR(__xludf.DUMMYFUNCTION("""COMPUTED_VALUE"""),"1. Form must be created.
2. User has permission of 'Create section'.")</f>
        <v>1. Form must be created.
2. User has permission of 'Create section'.</v>
      </c>
      <c r="K3" s="7" t="str">
        <f>IFERROR(__xludf.DUMMYFUNCTION("""COMPUTED_VALUE"""),"Verify, 'Section Name' is required.")</f>
        <v>Verify, 'Section Name' is required.</v>
      </c>
      <c r="L3" s="7" t="str">
        <f>IFERROR(__xludf.DUMMYFUNCTION("""COMPUTED_VALUE"""),"1. Go to manage form list.
2. Click on List Action.
3. Click on ""Modify Form""
4. Click on ""Add Another Section""
5. Fill data except Section name field and Save
")</f>
        <v>1. Go to manage form list.
2. Click on List Action.
3. Click on "Modify Form"
4. Click on "Add Another Section"
5. Fill data except Section name field and Save
</v>
      </c>
      <c r="M3" s="7" t="str">
        <f>IFERROR(__xludf.DUMMYFUNCTION("""COMPUTED_VALUE"""),"Not mandatory in requirement")</f>
        <v>Not mandatory in requirement</v>
      </c>
      <c r="N3" s="7" t="str">
        <f>IFERROR(__xludf.DUMMYFUNCTION("""COMPUTED_VALUE"""),"")</f>
        <v/>
      </c>
      <c r="O3" s="7" t="str">
        <f>IFERROR(__xludf.DUMMYFUNCTION("""COMPUTED_VALUE"""),"Name is mandatory
")</f>
        <v>Name is mandatory
</v>
      </c>
      <c r="P3" s="7" t="str">
        <f>IFERROR(__xludf.DUMMYFUNCTION("""COMPUTED_VALUE"""),"Fail")</f>
        <v>Fail</v>
      </c>
      <c r="Q3" s="7" t="str">
        <f>IFERROR(__xludf.DUMMYFUNCTION("""COMPUTED_VALUE"""),"jaikishan")</f>
        <v>jaikishan</v>
      </c>
      <c r="R3" s="8">
        <f>IFERROR(__xludf.DUMMYFUNCTION("""COMPUTED_VALUE"""),43795.0)</f>
        <v>43795</v>
      </c>
      <c r="S3" s="7" t="str">
        <f>IFERROR(__xludf.DUMMYFUNCTION("""COMPUTED_VALUE"""),"")</f>
        <v/>
      </c>
      <c r="T3" s="7"/>
      <c r="U3" s="7"/>
      <c r="V3" s="7"/>
      <c r="W3" s="7"/>
      <c r="X3" s="7"/>
      <c r="Y3" s="7"/>
      <c r="Z3" s="7"/>
    </row>
    <row r="4">
      <c r="A4" s="7" t="str">
        <f>IFERROR(__xludf.DUMMYFUNCTION("""COMPUTED_VALUE"""),"TCM_dKosh_General_SMF1_009_007")</f>
        <v>TCM_dKosh_General_SMF1_009_007</v>
      </c>
      <c r="B4" s="7" t="str">
        <f>IFERROR(__xludf.DUMMYFUNCTION("""COMPUTED_VALUE"""),"TP_dKosh_General_SMF1_009")</f>
        <v>TP_dKosh_General_SMF1_009</v>
      </c>
      <c r="C4" s="7">
        <f>IFERROR(__xludf.DUMMYFUNCTION("""COMPUTED_VALUE"""),7.0)</f>
        <v>7</v>
      </c>
      <c r="D4" s="7" t="str">
        <f>IFERROR(__xludf.DUMMYFUNCTION("""COMPUTED_VALUE"""),"Web, Mobile")</f>
        <v>Web, Mobile</v>
      </c>
      <c r="E4" s="7" t="str">
        <f>IFERROR(__xludf.DUMMYFUNCTION("""COMPUTED_VALUE"""),"General")</f>
        <v>General</v>
      </c>
      <c r="F4" s="7" t="str">
        <f>IFERROR(__xludf.DUMMYFUNCTION("""COMPUTED_VALUE"""),"Add Section")</f>
        <v>Add Section</v>
      </c>
      <c r="G4" s="7" t="str">
        <f>IFERROR(__xludf.DUMMYFUNCTION("""COMPUTED_VALUE"""),"M")</f>
        <v>M</v>
      </c>
      <c r="H4" s="7" t="str">
        <f>IFERROR(__xludf.DUMMYFUNCTION("""COMPUTED_VALUE"""),"Jaikishan")</f>
        <v>Jaikishan</v>
      </c>
      <c r="I4" s="7" t="str">
        <f>IFERROR(__xludf.DUMMYFUNCTION("""COMPUTED_VALUE"""),"UI")</f>
        <v>UI</v>
      </c>
      <c r="J4" s="7" t="str">
        <f>IFERROR(__xludf.DUMMYFUNCTION("""COMPUTED_VALUE"""),"1. Form must be created.
2. User has permission of 'Create section'.")</f>
        <v>1. Form must be created.
2. User has permission of 'Create section'.</v>
      </c>
      <c r="K4" s="7" t="str">
        <f>IFERROR(__xludf.DUMMYFUNCTION("""COMPUTED_VALUE"""),"Verify, Caption, Placeholder, Control type and default value of 'Sequence' field.")</f>
        <v>Verify, Caption, Placeholder, Control type and default value of 'Sequence' field.</v>
      </c>
      <c r="L4" s="7" t="str">
        <f>IFERROR(__xludf.DUMMYFUNCTION("""COMPUTED_VALUE"""),"1. Go to manage form list.
2. Click on List Action.
3. Click on ""Modify Form""
4. Click on ""Add Another Section""")</f>
        <v>1. Go to manage form list.
2. Click on List Action.
3. Click on "Modify Form"
4. Click on "Add Another Section"</v>
      </c>
      <c r="M4" s="7" t="str">
        <f>IFERROR(__xludf.DUMMYFUNCTION("""COMPUTED_VALUE"""),"Caption : Sequence
Place Holder : --
Control Type : Textbox 
Default Value : --
")</f>
        <v>Caption : Sequence
Place Holder : --
Control Type : Textbox 
Default Value : --
</v>
      </c>
      <c r="N4" s="7" t="str">
        <f>IFERROR(__xludf.DUMMYFUNCTION("""COMPUTED_VALUE"""),"")</f>
        <v/>
      </c>
      <c r="O4" s="7" t="str">
        <f>IFERROR(__xludf.DUMMYFUNCTION("""COMPUTED_VALUE"""),"Control type is dropdown.")</f>
        <v>Control type is dropdown.</v>
      </c>
      <c r="P4" s="7" t="str">
        <f>IFERROR(__xludf.DUMMYFUNCTION("""COMPUTED_VALUE"""),"Fail")</f>
        <v>Fail</v>
      </c>
      <c r="Q4" s="7" t="str">
        <f>IFERROR(__xludf.DUMMYFUNCTION("""COMPUTED_VALUE"""),"Omkar")</f>
        <v>Omkar</v>
      </c>
      <c r="R4" s="8">
        <f>IFERROR(__xludf.DUMMYFUNCTION("""COMPUTED_VALUE"""),43795.0)</f>
        <v>43795</v>
      </c>
      <c r="S4" s="7" t="str">
        <f>IFERROR(__xludf.DUMMYFUNCTION("""COMPUTED_VALUE"""),"")</f>
        <v/>
      </c>
      <c r="T4" s="7"/>
      <c r="U4" s="7"/>
      <c r="V4" s="7"/>
      <c r="W4" s="7"/>
      <c r="X4" s="7"/>
      <c r="Y4" s="7"/>
      <c r="Z4" s="7"/>
    </row>
    <row r="5">
      <c r="A5" s="7" t="str">
        <f>IFERROR(__xludf.DUMMYFUNCTION("""COMPUTED_VALUE"""),"TCM_dKosh_General_SMF1_009_008")</f>
        <v>TCM_dKosh_General_SMF1_009_008</v>
      </c>
      <c r="B5" s="7" t="str">
        <f>IFERROR(__xludf.DUMMYFUNCTION("""COMPUTED_VALUE"""),"TP_dKosh_General_SMF1_009")</f>
        <v>TP_dKosh_General_SMF1_009</v>
      </c>
      <c r="C5" s="7">
        <f>IFERROR(__xludf.DUMMYFUNCTION("""COMPUTED_VALUE"""),8.0)</f>
        <v>8</v>
      </c>
      <c r="D5" s="7" t="str">
        <f>IFERROR(__xludf.DUMMYFUNCTION("""COMPUTED_VALUE"""),"Web, Mobile")</f>
        <v>Web, Mobile</v>
      </c>
      <c r="E5" s="7" t="str">
        <f>IFERROR(__xludf.DUMMYFUNCTION("""COMPUTED_VALUE"""),"General")</f>
        <v>General</v>
      </c>
      <c r="F5" s="7" t="str">
        <f>IFERROR(__xludf.DUMMYFUNCTION("""COMPUTED_VALUE"""),"Add Section")</f>
        <v>Add Section</v>
      </c>
      <c r="G5" s="7" t="str">
        <f>IFERROR(__xludf.DUMMYFUNCTION("""COMPUTED_VALUE"""),"M")</f>
        <v>M</v>
      </c>
      <c r="H5" s="7" t="str">
        <f>IFERROR(__xludf.DUMMYFUNCTION("""COMPUTED_VALUE"""),"Jaikishan")</f>
        <v>Jaikishan</v>
      </c>
      <c r="I5" s="7" t="str">
        <f>IFERROR(__xludf.DUMMYFUNCTION("""COMPUTED_VALUE"""),"Validation")</f>
        <v>Validation</v>
      </c>
      <c r="J5" s="7" t="str">
        <f>IFERROR(__xludf.DUMMYFUNCTION("""COMPUTED_VALUE"""),"1. Form must be created.
2. User has permission of 'Create section'.")</f>
        <v>1. Form must be created.
2. User has permission of 'Create section'.</v>
      </c>
      <c r="K5" s="7" t="str">
        <f>IFERROR(__xludf.DUMMYFUNCTION("""COMPUTED_VALUE"""),"Verify, 'Sequence' field data validation (Integer, String, Alpanumeric)")</f>
        <v>Verify, 'Sequence' field data validation (Integer, String, Alpanumeric)</v>
      </c>
      <c r="L5" s="7" t="str">
        <f>IFERROR(__xludf.DUMMYFUNCTION("""COMPUTED_VALUE"""),"1. Go to manage form list.
2. Click on List Action.
3. Click on ""Modify Form""
4. Click on ""Add Another Section""
5. Enter data in Sequence field
")</f>
        <v>1. Go to manage form list.
2. Click on List Action.
3. Click on "Modify Form"
4. Click on "Add Another Section"
5. Enter data in Sequence field
</v>
      </c>
      <c r="M5" s="7" t="str">
        <f>IFERROR(__xludf.DUMMYFUNCTION("""COMPUTED_VALUE"""),"There should be shown error message like 'Please enter positive integer number only'")</f>
        <v>There should be shown error message like 'Please enter positive integer number only'</v>
      </c>
      <c r="N5" s="7" t="str">
        <f>IFERROR(__xludf.DUMMYFUNCTION("""COMPUTED_VALUE"""),"DataType - Integer")</f>
        <v>DataType - Integer</v>
      </c>
      <c r="O5" s="7" t="str">
        <f>IFERROR(__xludf.DUMMYFUNCTION("""COMPUTED_VALUE"""),"There is dropdown in sequence field.")</f>
        <v>There is dropdown in sequence field.</v>
      </c>
      <c r="P5" s="7" t="str">
        <f>IFERROR(__xludf.DUMMYFUNCTION("""COMPUTED_VALUE"""),"Fail")</f>
        <v>Fail</v>
      </c>
      <c r="Q5" s="7" t="str">
        <f>IFERROR(__xludf.DUMMYFUNCTION("""COMPUTED_VALUE"""),"Omkar")</f>
        <v>Omkar</v>
      </c>
      <c r="R5" s="8">
        <f>IFERROR(__xludf.DUMMYFUNCTION("""COMPUTED_VALUE"""),43795.0)</f>
        <v>43795</v>
      </c>
      <c r="S5" s="7" t="str">
        <f>IFERROR(__xludf.DUMMYFUNCTION("""COMPUTED_VALUE"""),"")</f>
        <v/>
      </c>
      <c r="T5" s="7"/>
      <c r="U5" s="7"/>
      <c r="V5" s="7"/>
      <c r="W5" s="7"/>
      <c r="X5" s="7"/>
      <c r="Y5" s="7"/>
      <c r="Z5" s="7"/>
    </row>
    <row r="6">
      <c r="A6" s="7" t="str">
        <f>IFERROR(__xludf.DUMMYFUNCTION("""COMPUTED_VALUE"""),"TCA_dKosh_General_SMF1_009_009")</f>
        <v>TCA_dKosh_General_SMF1_009_009</v>
      </c>
      <c r="B6" s="7" t="str">
        <f>IFERROR(__xludf.DUMMYFUNCTION("""COMPUTED_VALUE"""),"TP_dKosh_General_SMF1_009")</f>
        <v>TP_dKosh_General_SMF1_009</v>
      </c>
      <c r="C6" s="7">
        <f>IFERROR(__xludf.DUMMYFUNCTION("""COMPUTED_VALUE"""),9.0)</f>
        <v>9</v>
      </c>
      <c r="D6" s="7" t="str">
        <f>IFERROR(__xludf.DUMMYFUNCTION("""COMPUTED_VALUE"""),"Web, Mobile")</f>
        <v>Web, Mobile</v>
      </c>
      <c r="E6" s="7" t="str">
        <f>IFERROR(__xludf.DUMMYFUNCTION("""COMPUTED_VALUE"""),"General")</f>
        <v>General</v>
      </c>
      <c r="F6" s="7" t="str">
        <f>IFERROR(__xludf.DUMMYFUNCTION("""COMPUTED_VALUE"""),"Add Section")</f>
        <v>Add Section</v>
      </c>
      <c r="G6" s="7" t="str">
        <f>IFERROR(__xludf.DUMMYFUNCTION("""COMPUTED_VALUE"""),"A")</f>
        <v>A</v>
      </c>
      <c r="H6" s="7" t="str">
        <f>IFERROR(__xludf.DUMMYFUNCTION("""COMPUTED_VALUE"""),"Jaikishan")</f>
        <v>Jaikishan</v>
      </c>
      <c r="I6" s="7" t="str">
        <f>IFERROR(__xludf.DUMMYFUNCTION("""COMPUTED_VALUE"""),"Validation")</f>
        <v>Validation</v>
      </c>
      <c r="J6" s="7" t="str">
        <f>IFERROR(__xludf.DUMMYFUNCTION("""COMPUTED_VALUE"""),"1. Form must be created.
2. User has permission of 'Create section'.")</f>
        <v>1. Form must be created.
2. User has permission of 'Create section'.</v>
      </c>
      <c r="K6" s="7" t="str">
        <f>IFERROR(__xludf.DUMMYFUNCTION("""COMPUTED_VALUE"""),"Verify, 'Sequence' field data validation (Min and Max length)")</f>
        <v>Verify, 'Sequence' field data validation (Min and Max length)</v>
      </c>
      <c r="L6" s="7" t="str">
        <f>IFERROR(__xludf.DUMMYFUNCTION("""COMPUTED_VALUE"""),"1. Go to manage form list.
2. Click on List Action.
3. Click on ""Modify Form""
4. Click on ""Add Another Section""
5. Enter data in Sequence field")</f>
        <v>1. Go to manage form list.
2. Click on List Action.
3. Click on "Modify Form"
4. Click on "Add Another Section"
5. Enter data in Sequence field</v>
      </c>
      <c r="M6" s="7" t="str">
        <f>IFERROR(__xludf.DUMMYFUNCTION("""COMPUTED_VALUE"""),"Not given in requirement sheet.")</f>
        <v>Not given in requirement sheet.</v>
      </c>
      <c r="N6" s="7" t="str">
        <f>IFERROR(__xludf.DUMMYFUNCTION("""COMPUTED_VALUE"""),"")</f>
        <v/>
      </c>
      <c r="O6" s="7" t="str">
        <f>IFERROR(__xludf.DUMMYFUNCTION("""COMPUTED_VALUE"""),"")</f>
        <v/>
      </c>
      <c r="P6" s="7" t="str">
        <f>IFERROR(__xludf.DUMMYFUNCTION("""COMPUTED_VALUE"""),"?")</f>
        <v>?</v>
      </c>
      <c r="Q6" s="7" t="str">
        <f>IFERROR(__xludf.DUMMYFUNCTION("""COMPUTED_VALUE"""),"")</f>
        <v/>
      </c>
      <c r="R6" s="8">
        <f>IFERROR(__xludf.DUMMYFUNCTION("""COMPUTED_VALUE"""),43795.0)</f>
        <v>43795</v>
      </c>
      <c r="S6" s="7" t="str">
        <f>IFERROR(__xludf.DUMMYFUNCTION("""COMPUTED_VALUE"""),"")</f>
        <v/>
      </c>
      <c r="T6" s="7"/>
      <c r="U6" s="7"/>
      <c r="V6" s="7"/>
      <c r="W6" s="7"/>
      <c r="X6" s="7"/>
      <c r="Y6" s="7"/>
      <c r="Z6" s="7"/>
    </row>
    <row r="7">
      <c r="A7" s="7" t="str">
        <f>IFERROR(__xludf.DUMMYFUNCTION("""COMPUTED_VALUE"""),"TCA_dKosh_General_SMF1_009_010")</f>
        <v>TCA_dKosh_General_SMF1_009_010</v>
      </c>
      <c r="B7" s="7" t="str">
        <f>IFERROR(__xludf.DUMMYFUNCTION("""COMPUTED_VALUE"""),"TP_dKosh_General_SMF1_009")</f>
        <v>TP_dKosh_General_SMF1_009</v>
      </c>
      <c r="C7" s="7">
        <f>IFERROR(__xludf.DUMMYFUNCTION("""COMPUTED_VALUE"""),10.0)</f>
        <v>10</v>
      </c>
      <c r="D7" s="7" t="str">
        <f>IFERROR(__xludf.DUMMYFUNCTION("""COMPUTED_VALUE"""),"Web, Mobile")</f>
        <v>Web, Mobile</v>
      </c>
      <c r="E7" s="7" t="str">
        <f>IFERROR(__xludf.DUMMYFUNCTION("""COMPUTED_VALUE"""),"General")</f>
        <v>General</v>
      </c>
      <c r="F7" s="7" t="str">
        <f>IFERROR(__xludf.DUMMYFUNCTION("""COMPUTED_VALUE"""),"Add Section")</f>
        <v>Add Section</v>
      </c>
      <c r="G7" s="7" t="str">
        <f>IFERROR(__xludf.DUMMYFUNCTION("""COMPUTED_VALUE"""),"A")</f>
        <v>A</v>
      </c>
      <c r="H7" s="7" t="str">
        <f>IFERROR(__xludf.DUMMYFUNCTION("""COMPUTED_VALUE"""),"Jaikishan")</f>
        <v>Jaikishan</v>
      </c>
      <c r="I7" s="7" t="str">
        <f>IFERROR(__xludf.DUMMYFUNCTION("""COMPUTED_VALUE"""),"Validation")</f>
        <v>Validation</v>
      </c>
      <c r="J7" s="7" t="str">
        <f>IFERROR(__xludf.DUMMYFUNCTION("""COMPUTED_VALUE"""),"1. Form must be created.
2. User has permission of 'Create section'.")</f>
        <v>1. Form must be created.
2. User has permission of 'Create section'.</v>
      </c>
      <c r="K7" s="7" t="str">
        <f>IFERROR(__xludf.DUMMYFUNCTION("""COMPUTED_VALUE"""),"Verify, 'Sequence' is required.")</f>
        <v>Verify, 'Sequence' is required.</v>
      </c>
      <c r="L7" s="7" t="str">
        <f>IFERROR(__xludf.DUMMYFUNCTION("""COMPUTED_VALUE"""),"1. Go to manage form list.
2. Click on List Action.
3. Click on ""Modify Form""
4. Click on ""Add Another Section""
5. Fill data except Sequence field and Save
")</f>
        <v>1. Go to manage form list.
2. Click on List Action.
3. Click on "Modify Form"
4. Click on "Add Another Section"
5. Fill data except Sequence field and Save
</v>
      </c>
      <c r="M7" s="7" t="str">
        <f>IFERROR(__xludf.DUMMYFUNCTION("""COMPUTED_VALUE"""),"Save section without any error.")</f>
        <v>Save section without any error.</v>
      </c>
      <c r="N7" s="7" t="str">
        <f>IFERROR(__xludf.DUMMYFUNCTION("""COMPUTED_VALUE"""),"")</f>
        <v/>
      </c>
      <c r="O7" s="7" t="str">
        <f>IFERROR(__xludf.DUMMYFUNCTION("""COMPUTED_VALUE"""),"1. Showing SQL error
2. Extra 2 blank row in dropdown")</f>
        <v>1. Showing SQL error
2. Extra 2 blank row in dropdown</v>
      </c>
      <c r="P7" s="7" t="str">
        <f>IFERROR(__xludf.DUMMYFUNCTION("""COMPUTED_VALUE"""),"Fail")</f>
        <v>Fail</v>
      </c>
      <c r="Q7" s="7" t="str">
        <f>IFERROR(__xludf.DUMMYFUNCTION("""COMPUTED_VALUE"""),"Jaikishan")</f>
        <v>Jaikishan</v>
      </c>
      <c r="R7" s="8">
        <f>IFERROR(__xludf.DUMMYFUNCTION("""COMPUTED_VALUE"""),43795.0)</f>
        <v>43795</v>
      </c>
      <c r="S7" s="7" t="str">
        <f>IFERROR(__xludf.DUMMYFUNCTION("""COMPUTED_VALUE"""),"")</f>
        <v/>
      </c>
      <c r="T7" s="7"/>
      <c r="U7" s="7"/>
      <c r="V7" s="7"/>
      <c r="W7" s="7"/>
      <c r="X7" s="7"/>
      <c r="Y7" s="7"/>
      <c r="Z7" s="7"/>
    </row>
    <row r="8">
      <c r="A8" s="7" t="str">
        <f>IFERROR(__xludf.DUMMYFUNCTION("""COMPUTED_VALUE"""),"TCA_dKosh_General_SMF1_009_014")</f>
        <v>TCA_dKosh_General_SMF1_009_014</v>
      </c>
      <c r="B8" s="7" t="str">
        <f>IFERROR(__xludf.DUMMYFUNCTION("""COMPUTED_VALUE"""),"TP_dKosh_General_SMF1_009")</f>
        <v>TP_dKosh_General_SMF1_009</v>
      </c>
      <c r="C8" s="7">
        <f>IFERROR(__xludf.DUMMYFUNCTION("""COMPUTED_VALUE"""),14.0)</f>
        <v>14</v>
      </c>
      <c r="D8" s="7" t="str">
        <f>IFERROR(__xludf.DUMMYFUNCTION("""COMPUTED_VALUE"""),"Web, Mobile")</f>
        <v>Web, Mobile</v>
      </c>
      <c r="E8" s="7" t="str">
        <f>IFERROR(__xludf.DUMMYFUNCTION("""COMPUTED_VALUE"""),"General")</f>
        <v>General</v>
      </c>
      <c r="F8" s="7" t="str">
        <f>IFERROR(__xludf.DUMMYFUNCTION("""COMPUTED_VALUE"""),"Add Section")</f>
        <v>Add Section</v>
      </c>
      <c r="G8" s="7" t="str">
        <f>IFERROR(__xludf.DUMMYFUNCTION("""COMPUTED_VALUE"""),"A")</f>
        <v>A</v>
      </c>
      <c r="H8" s="7" t="str">
        <f>IFERROR(__xludf.DUMMYFUNCTION("""COMPUTED_VALUE"""),"Jaikishan")</f>
        <v>Jaikishan</v>
      </c>
      <c r="I8" s="7" t="str">
        <f>IFERROR(__xludf.DUMMYFUNCTION("""COMPUTED_VALUE"""),"Functional")</f>
        <v>Functional</v>
      </c>
      <c r="J8" s="7" t="str">
        <f>IFERROR(__xludf.DUMMYFUNCTION("""COMPUTED_VALUE"""),"1. Form must be created.
2. User has permission of 'Create section'.")</f>
        <v>1. Form must be created.
2. User has permission of 'Create section'.</v>
      </c>
      <c r="K8" s="7" t="str">
        <f>IFERROR(__xludf.DUMMYFUNCTION("""COMPUTED_VALUE"""),"Verify, 'Shuffle Questions' toggle is visible when form ""Shuffle Questions"" is marked as 'No'.")</f>
        <v>Verify, 'Shuffle Questions' toggle is visible when form "Shuffle Questions" is marked as 'No'.</v>
      </c>
      <c r="L8" s="7" t="str">
        <f>IFERROR(__xludf.DUMMYFUNCTION("""COMPUTED_VALUE"""),"1. Go to manage form list.
2. Click on List Action.
3. Click on ""Modify Form""
4. Click on ""Add Another Section""
5. Check Shuffle question field.")</f>
        <v>1. Go to manage form list.
2. Click on List Action.
3. Click on "Modify Form"
4. Click on "Add Another Section"
5. Check Shuffle question field.</v>
      </c>
      <c r="M8" s="7" t="str">
        <f>IFERROR(__xludf.DUMMYFUNCTION("""COMPUTED_VALUE"""),"Shuffle question field should not be visible.")</f>
        <v>Shuffle question field should not be visible.</v>
      </c>
      <c r="N8" s="7" t="str">
        <f>IFERROR(__xludf.DUMMYFUNCTION("""COMPUTED_VALUE"""),"")</f>
        <v/>
      </c>
      <c r="O8" s="7" t="str">
        <f>IFERROR(__xludf.DUMMYFUNCTION("""COMPUTED_VALUE"""),"")</f>
        <v/>
      </c>
      <c r="P8" s="7" t="str">
        <f>IFERROR(__xludf.DUMMYFUNCTION("""COMPUTED_VALUE"""),"Fail")</f>
        <v>Fail</v>
      </c>
      <c r="Q8" s="7" t="str">
        <f>IFERROR(__xludf.DUMMYFUNCTION("""COMPUTED_VALUE"""),"Omkar")</f>
        <v>Omkar</v>
      </c>
      <c r="R8" s="8">
        <f>IFERROR(__xludf.DUMMYFUNCTION("""COMPUTED_VALUE"""),43795.0)</f>
        <v>43795</v>
      </c>
      <c r="S8" s="7" t="str">
        <f>IFERROR(__xludf.DUMMYFUNCTION("""COMPUTED_VALUE"""),"")</f>
        <v/>
      </c>
      <c r="T8" s="7"/>
      <c r="U8" s="7"/>
      <c r="V8" s="7"/>
      <c r="W8" s="7"/>
      <c r="X8" s="7"/>
      <c r="Y8" s="7"/>
      <c r="Z8" s="7"/>
    </row>
    <row r="9">
      <c r="A9" s="7" t="str">
        <f>IFERROR(__xludf.DUMMYFUNCTION("""COMPUTED_VALUE"""),"TCM_dKosh_General_SMF1_009_015")</f>
        <v>TCM_dKosh_General_SMF1_009_015</v>
      </c>
      <c r="B9" s="7" t="str">
        <f>IFERROR(__xludf.DUMMYFUNCTION("""COMPUTED_VALUE"""),"TP_dKosh_General_SMF1_009")</f>
        <v>TP_dKosh_General_SMF1_009</v>
      </c>
      <c r="C9" s="7">
        <f>IFERROR(__xludf.DUMMYFUNCTION("""COMPUTED_VALUE"""),15.0)</f>
        <v>15</v>
      </c>
      <c r="D9" s="7" t="str">
        <f>IFERROR(__xludf.DUMMYFUNCTION("""COMPUTED_VALUE"""),"Web, Mobile")</f>
        <v>Web, Mobile</v>
      </c>
      <c r="E9" s="7" t="str">
        <f>IFERROR(__xludf.DUMMYFUNCTION("""COMPUTED_VALUE"""),"General")</f>
        <v>General</v>
      </c>
      <c r="F9" s="7" t="str">
        <f>IFERROR(__xludf.DUMMYFUNCTION("""COMPUTED_VALUE"""),"Add Section")</f>
        <v>Add Section</v>
      </c>
      <c r="G9" s="7" t="str">
        <f>IFERROR(__xludf.DUMMYFUNCTION("""COMPUTED_VALUE"""),"M")</f>
        <v>M</v>
      </c>
      <c r="H9" s="7" t="str">
        <f>IFERROR(__xludf.DUMMYFUNCTION("""COMPUTED_VALUE"""),"Jaikishan")</f>
        <v>Jaikishan</v>
      </c>
      <c r="I9" s="7" t="str">
        <f>IFERROR(__xludf.DUMMYFUNCTION("""COMPUTED_VALUE"""),"Functional")</f>
        <v>Functional</v>
      </c>
      <c r="J9" s="7" t="str">
        <f>IFERROR(__xludf.DUMMYFUNCTION("""COMPUTED_VALUE"""),"1. Form must be created.
2. User has permission of 'Create section'.")</f>
        <v>1. Form must be created.
2. User has permission of 'Create section'.</v>
      </c>
      <c r="K9" s="7" t="str">
        <f>IFERROR(__xludf.DUMMYFUNCTION("""COMPUTED_VALUE"""),"Verify, Post action  after selecting 'Yes' in shuffle questions.")</f>
        <v>Verify, Post action  after selecting 'Yes' in shuffle questions.</v>
      </c>
      <c r="L9" s="7" t="str">
        <f>IFERROR(__xludf.DUMMYFUNCTION("""COMPUTED_VALUE"""),"1. Open create section page.
2. Click on 'Shuffle Questions' field and select 'Yes'.
3. Fill all required info.
4. Click on 'Create' button.
5. View questions in that section.")</f>
        <v>1. Open create section page.
2. Click on 'Shuffle Questions' field and select 'Yes'.
3. Fill all required info.
4. Click on 'Create' button.
5. View questions in that section.</v>
      </c>
      <c r="M9" s="7" t="str">
        <f>IFERROR(__xludf.DUMMYFUNCTION("""COMPUTED_VALUE"""),"Mapped question with created section should be shuffled.")</f>
        <v>Mapped question with created section should be shuffled.</v>
      </c>
      <c r="N9" s="7" t="str">
        <f>IFERROR(__xludf.DUMMYFUNCTION("""COMPUTED_VALUE"""),"On marking it as Yes, shuffle questions at time of Preview Form")</f>
        <v>On marking it as Yes, shuffle questions at time of Preview Form</v>
      </c>
      <c r="O9" s="7" t="str">
        <f>IFERROR(__xludf.DUMMYFUNCTION("""COMPUTED_VALUE"""),"")</f>
        <v/>
      </c>
      <c r="P9" s="7" t="str">
        <f>IFERROR(__xludf.DUMMYFUNCTION("""COMPUTED_VALUE"""),"?")</f>
        <v>?</v>
      </c>
      <c r="Q9" s="7" t="str">
        <f>IFERROR(__xludf.DUMMYFUNCTION("""COMPUTED_VALUE"""),"Omkar")</f>
        <v>Omkar</v>
      </c>
      <c r="R9" s="8">
        <f>IFERROR(__xludf.DUMMYFUNCTION("""COMPUTED_VALUE"""),43795.0)</f>
        <v>43795</v>
      </c>
      <c r="S9" s="7" t="str">
        <f>IFERROR(__xludf.DUMMYFUNCTION("""COMPUTED_VALUE"""),"")</f>
        <v/>
      </c>
      <c r="T9" s="7"/>
      <c r="U9" s="7"/>
      <c r="V9" s="7"/>
      <c r="W9" s="7"/>
      <c r="X9" s="7"/>
      <c r="Y9" s="7"/>
      <c r="Z9" s="7"/>
    </row>
    <row r="10">
      <c r="A10" s="7" t="str">
        <f>IFERROR(__xludf.DUMMYFUNCTION("""COMPUTED_VALUE"""),"TCM_dKosh_General_SMF1_009_016")</f>
        <v>TCM_dKosh_General_SMF1_009_016</v>
      </c>
      <c r="B10" s="7" t="str">
        <f>IFERROR(__xludf.DUMMYFUNCTION("""COMPUTED_VALUE"""),"TP_dKosh_General_SMF1_009")</f>
        <v>TP_dKosh_General_SMF1_009</v>
      </c>
      <c r="C10" s="7">
        <f>IFERROR(__xludf.DUMMYFUNCTION("""COMPUTED_VALUE"""),16.0)</f>
        <v>16</v>
      </c>
      <c r="D10" s="7" t="str">
        <f>IFERROR(__xludf.DUMMYFUNCTION("""COMPUTED_VALUE"""),"Web, Mobile")</f>
        <v>Web, Mobile</v>
      </c>
      <c r="E10" s="7" t="str">
        <f>IFERROR(__xludf.DUMMYFUNCTION("""COMPUTED_VALUE"""),"General")</f>
        <v>General</v>
      </c>
      <c r="F10" s="7" t="str">
        <f>IFERROR(__xludf.DUMMYFUNCTION("""COMPUTED_VALUE"""),"Add Section")</f>
        <v>Add Section</v>
      </c>
      <c r="G10" s="7" t="str">
        <f>IFERROR(__xludf.DUMMYFUNCTION("""COMPUTED_VALUE"""),"M")</f>
        <v>M</v>
      </c>
      <c r="H10" s="7" t="str">
        <f>IFERROR(__xludf.DUMMYFUNCTION("""COMPUTED_VALUE"""),"Jaikishan")</f>
        <v>Jaikishan</v>
      </c>
      <c r="I10" s="7" t="str">
        <f>IFERROR(__xludf.DUMMYFUNCTION("""COMPUTED_VALUE"""),"UI")</f>
        <v>UI</v>
      </c>
      <c r="J10" s="7" t="str">
        <f>IFERROR(__xludf.DUMMYFUNCTION("""COMPUTED_VALUE"""),"1. Form must be created.
2. User has permission of 'Create section'.")</f>
        <v>1. Form must be created.
2. User has permission of 'Create section'.</v>
      </c>
      <c r="K10" s="7" t="str">
        <f>IFERROR(__xludf.DUMMYFUNCTION("""COMPUTED_VALUE"""),"Verify, Caption, Placeholder, Control type and default value of 'Instruction' field.")</f>
        <v>Verify, Caption, Placeholder, Control type and default value of 'Instruction' field.</v>
      </c>
      <c r="L10" s="7" t="str">
        <f>IFERROR(__xludf.DUMMYFUNCTION("""COMPUTED_VALUE"""),"1. Go to manage form list.
2. Click on List Action.
3. Click on ""Modify Form""
4. Click on ""Add Another Section""")</f>
        <v>1. Go to manage form list.
2. Click on List Action.
3. Click on "Modify Form"
4. Click on "Add Another Section"</v>
      </c>
      <c r="M10" s="7" t="str">
        <f>IFERROR(__xludf.DUMMYFUNCTION("""COMPUTED_VALUE"""),"Caption : Instruction
Place Holder : --
Control Type : Textbox 
Default Value : --
")</f>
        <v>Caption : Instruction
Place Holder : --
Control Type : Textbox 
Default Value : --
</v>
      </c>
      <c r="N10" s="7" t="str">
        <f>IFERROR(__xludf.DUMMYFUNCTION("""COMPUTED_VALUE"""),"")</f>
        <v/>
      </c>
      <c r="O10" s="7" t="str">
        <f>IFERROR(__xludf.DUMMYFUNCTION("""COMPUTED_VALUE"""),"There is no caption name instruction field.")</f>
        <v>There is no caption name instruction field.</v>
      </c>
      <c r="P10" s="7" t="str">
        <f>IFERROR(__xludf.DUMMYFUNCTION("""COMPUTED_VALUE"""),"Fail")</f>
        <v>Fail</v>
      </c>
      <c r="Q10" s="7" t="str">
        <f>IFERROR(__xludf.DUMMYFUNCTION("""COMPUTED_VALUE"""),"Omkar")</f>
        <v>Omkar</v>
      </c>
      <c r="R10" s="8">
        <f>IFERROR(__xludf.DUMMYFUNCTION("""COMPUTED_VALUE"""),43795.0)</f>
        <v>43795</v>
      </c>
      <c r="S10" s="7" t="str">
        <f>IFERROR(__xludf.DUMMYFUNCTION("""COMPUTED_VALUE"""),"")</f>
        <v/>
      </c>
      <c r="T10" s="7"/>
      <c r="U10" s="7"/>
      <c r="V10" s="7"/>
      <c r="W10" s="7"/>
      <c r="X10" s="7"/>
      <c r="Y10" s="7"/>
      <c r="Z10" s="7"/>
    </row>
    <row r="11">
      <c r="A11" s="7" t="str">
        <f>IFERROR(__xludf.DUMMYFUNCTION("""COMPUTED_VALUE"""),"TCA_dKosh_General_SMF1_009_018")</f>
        <v>TCA_dKosh_General_SMF1_009_018</v>
      </c>
      <c r="B11" s="7" t="str">
        <f>IFERROR(__xludf.DUMMYFUNCTION("""COMPUTED_VALUE"""),"TP_dKosh_General_SMF1_009")</f>
        <v>TP_dKosh_General_SMF1_009</v>
      </c>
      <c r="C11" s="7">
        <f>IFERROR(__xludf.DUMMYFUNCTION("""COMPUTED_VALUE"""),18.0)</f>
        <v>18</v>
      </c>
      <c r="D11" s="7" t="str">
        <f>IFERROR(__xludf.DUMMYFUNCTION("""COMPUTED_VALUE"""),"Web, Mobile")</f>
        <v>Web, Mobile</v>
      </c>
      <c r="E11" s="7" t="str">
        <f>IFERROR(__xludf.DUMMYFUNCTION("""COMPUTED_VALUE"""),"General")</f>
        <v>General</v>
      </c>
      <c r="F11" s="7" t="str">
        <f>IFERROR(__xludf.DUMMYFUNCTION("""COMPUTED_VALUE"""),"Add Section")</f>
        <v>Add Section</v>
      </c>
      <c r="G11" s="7" t="str">
        <f>IFERROR(__xludf.DUMMYFUNCTION("""COMPUTED_VALUE"""),"A")</f>
        <v>A</v>
      </c>
      <c r="H11" s="7" t="str">
        <f>IFERROR(__xludf.DUMMYFUNCTION("""COMPUTED_VALUE"""),"Jaikishan")</f>
        <v>Jaikishan</v>
      </c>
      <c r="I11" s="7" t="str">
        <f>IFERROR(__xludf.DUMMYFUNCTION("""COMPUTED_VALUE"""),"Validation")</f>
        <v>Validation</v>
      </c>
      <c r="J11" s="7" t="str">
        <f>IFERROR(__xludf.DUMMYFUNCTION("""COMPUTED_VALUE"""),"1. Form must be created.
2. User has permission of 'Create section'.")</f>
        <v>1. Form must be created.
2. User has permission of 'Create section'.</v>
      </c>
      <c r="K11" s="7" t="str">
        <f>IFERROR(__xludf.DUMMYFUNCTION("""COMPUTED_VALUE"""),"Verify, 'Instruction' field data validation (Min and Max length)")</f>
        <v>Verify, 'Instruction' field data validation (Min and Max length)</v>
      </c>
      <c r="L11" s="7" t="str">
        <f>IFERROR(__xludf.DUMMYFUNCTION("""COMPUTED_VALUE"""),"1. Go to manage form list.
2. Click on List Action.
3. Click on ""Modify Form""
4. Click on ""Add Another Section""
5. Enter data in Instruction field")</f>
        <v>1. Go to manage form list.
2. Click on List Action.
3. Click on "Modify Form"
4. Click on "Add Another Section"
5. Enter data in Instruction field</v>
      </c>
      <c r="M11" s="7" t="str">
        <f>IFERROR(__xludf.DUMMYFUNCTION("""COMPUTED_VALUE"""),"Max length(db) is 1000 (varchar).
")</f>
        <v>Max length(db) is 1000 (varchar).
</v>
      </c>
      <c r="N11" s="7" t="str">
        <f>IFERROR(__xludf.DUMMYFUNCTION("""COMPUTED_VALUE"""),"")</f>
        <v/>
      </c>
      <c r="O11" s="7" t="str">
        <f>IFERROR(__xludf.DUMMYFUNCTION("""COMPUTED_VALUE"""),"It accept greater then 1000 characters.")</f>
        <v>It accept greater then 1000 characters.</v>
      </c>
      <c r="P11" s="7" t="str">
        <f>IFERROR(__xludf.DUMMYFUNCTION("""COMPUTED_VALUE"""),"Fail")</f>
        <v>Fail</v>
      </c>
      <c r="Q11" s="7" t="str">
        <f>IFERROR(__xludf.DUMMYFUNCTION("""COMPUTED_VALUE"""),"Omkar")</f>
        <v>Omkar</v>
      </c>
      <c r="R11" s="8">
        <f>IFERROR(__xludf.DUMMYFUNCTION("""COMPUTED_VALUE"""),43795.0)</f>
        <v>43795</v>
      </c>
      <c r="S11" s="7" t="str">
        <f>IFERROR(__xludf.DUMMYFUNCTION("""COMPUTED_VALUE"""),"")</f>
        <v/>
      </c>
      <c r="T11" s="7"/>
      <c r="U11" s="7"/>
      <c r="V11" s="7"/>
      <c r="W11" s="7"/>
      <c r="X11" s="7"/>
      <c r="Y11" s="7"/>
      <c r="Z11" s="7"/>
    </row>
    <row r="12">
      <c r="A12" s="7" t="str">
        <f>IFERROR(__xludf.DUMMYFUNCTION("""COMPUTED_VALUE"""),"TCM_dKosh_General_SMF1_009_022")</f>
        <v>TCM_dKosh_General_SMF1_009_022</v>
      </c>
      <c r="B12" s="7" t="str">
        <f>IFERROR(__xludf.DUMMYFUNCTION("""COMPUTED_VALUE"""),"TP_dKosh_General_SMF1_009")</f>
        <v>TP_dKosh_General_SMF1_009</v>
      </c>
      <c r="C12" s="7">
        <f>IFERROR(__xludf.DUMMYFUNCTION("""COMPUTED_VALUE"""),22.0)</f>
        <v>22</v>
      </c>
      <c r="D12" s="7" t="str">
        <f>IFERROR(__xludf.DUMMYFUNCTION("""COMPUTED_VALUE"""),"Web, Mobile")</f>
        <v>Web, Mobile</v>
      </c>
      <c r="E12" s="7" t="str">
        <f>IFERROR(__xludf.DUMMYFUNCTION("""COMPUTED_VALUE"""),"General")</f>
        <v>General</v>
      </c>
      <c r="F12" s="7" t="str">
        <f>IFERROR(__xludf.DUMMYFUNCTION("""COMPUTED_VALUE"""),"Add Section")</f>
        <v>Add Section</v>
      </c>
      <c r="G12" s="7" t="str">
        <f>IFERROR(__xludf.DUMMYFUNCTION("""COMPUTED_VALUE"""),"M")</f>
        <v>M</v>
      </c>
      <c r="H12" s="7" t="str">
        <f>IFERROR(__xludf.DUMMYFUNCTION("""COMPUTED_VALUE"""),"Aditya")</f>
        <v>Aditya</v>
      </c>
      <c r="I12" s="7" t="str">
        <f>IFERROR(__xludf.DUMMYFUNCTION("""COMPUTED_VALUE"""),"Functional")</f>
        <v>Functional</v>
      </c>
      <c r="J12" s="7" t="str">
        <f>IFERROR(__xludf.DUMMYFUNCTION("""COMPUTED_VALUE"""),"1. Form must be created.
2. User has permission of 'Create section'.")</f>
        <v>1. Form must be created.
2. User has permission of 'Create section'.</v>
      </c>
      <c r="K12" s="7" t="str">
        <f>IFERROR(__xludf.DUMMYFUNCTION("""COMPUTED_VALUE"""),"Verify, Post action after clicking on 'Close/Cross' button.")</f>
        <v>Verify, Post action after clicking on 'Close/Cross' button.</v>
      </c>
      <c r="L12" s="7" t="str">
        <f>IFERROR(__xludf.DUMMYFUNCTION("""COMPUTED_VALUE"""),"1. Open create section page.
2. Fill required info.
3. Click on 'Close/Cross' button.")</f>
        <v>1. Open create section page.
2. Fill required info.
3. Click on 'Close/Cross' button.</v>
      </c>
      <c r="M12" s="7" t="str">
        <f>IFERROR(__xludf.DUMMYFUNCTION("""COMPUTED_VALUE"""),"On clicking it will close the pop up and will redirect to Manage Question page")</f>
        <v>On clicking it will close the pop up and will redirect to Manage Question page</v>
      </c>
      <c r="N12" s="7" t="str">
        <f>IFERROR(__xludf.DUMMYFUNCTION("""COMPUTED_VALUE"""),"")</f>
        <v/>
      </c>
      <c r="O12" s="7" t="str">
        <f>IFERROR(__xludf.DUMMYFUNCTION("""COMPUTED_VALUE"""),"For Close button - Refresh page.")</f>
        <v>For Close button - Refresh page.</v>
      </c>
      <c r="P12" s="7" t="str">
        <f>IFERROR(__xludf.DUMMYFUNCTION("""COMPUTED_VALUE"""),"Fail")</f>
        <v>Fail</v>
      </c>
      <c r="Q12" s="7" t="str">
        <f>IFERROR(__xludf.DUMMYFUNCTION("""COMPUTED_VALUE"""),"Jaikishan")</f>
        <v>Jaikishan</v>
      </c>
      <c r="R12" s="8">
        <f>IFERROR(__xludf.DUMMYFUNCTION("""COMPUTED_VALUE"""),43795.0)</f>
        <v>43795</v>
      </c>
      <c r="S12" s="7" t="str">
        <f>IFERROR(__xludf.DUMMYFUNCTION("""COMPUTED_VALUE"""),"")</f>
        <v/>
      </c>
      <c r="T12" s="7"/>
      <c r="U12" s="7"/>
      <c r="V12" s="7"/>
      <c r="W12" s="7"/>
      <c r="X12" s="7"/>
      <c r="Y12" s="7"/>
      <c r="Z12" s="7"/>
    </row>
    <row r="13">
      <c r="A13" s="7" t="str">
        <f>IFERROR(__xludf.DUMMYFUNCTION("""COMPUTED_VALUE"""),"TCM_dKosh_General_SMF1_010_024")</f>
        <v>TCM_dKosh_General_SMF1_010_024</v>
      </c>
      <c r="B13" s="7" t="str">
        <f>IFERROR(__xludf.DUMMYFUNCTION("""COMPUTED_VALUE"""),"TP_dKosh_General_SMF1_010")</f>
        <v>TP_dKosh_General_SMF1_010</v>
      </c>
      <c r="C13" s="7">
        <f>IFERROR(__xludf.DUMMYFUNCTION("""COMPUTED_VALUE"""),24.0)</f>
        <v>24</v>
      </c>
      <c r="D13" s="7" t="str">
        <f>IFERROR(__xludf.DUMMYFUNCTION("""COMPUTED_VALUE"""),"Web, Mobile")</f>
        <v>Web, Mobile</v>
      </c>
      <c r="E13" s="7" t="str">
        <f>IFERROR(__xludf.DUMMYFUNCTION("""COMPUTED_VALUE"""),"General")</f>
        <v>General</v>
      </c>
      <c r="F13" s="7" t="str">
        <f>IFERROR(__xludf.DUMMYFUNCTION("""COMPUTED_VALUE"""),"Modify Section")</f>
        <v>Modify Section</v>
      </c>
      <c r="G13" s="7" t="str">
        <f>IFERROR(__xludf.DUMMYFUNCTION("""COMPUTED_VALUE"""),"M")</f>
        <v>M</v>
      </c>
      <c r="H13" s="7" t="str">
        <f>IFERROR(__xludf.DUMMYFUNCTION("""COMPUTED_VALUE"""),"Jaikishan")</f>
        <v>Jaikishan</v>
      </c>
      <c r="I13" s="7" t="str">
        <f>IFERROR(__xludf.DUMMYFUNCTION("""COMPUTED_VALUE"""),"UI")</f>
        <v>UI</v>
      </c>
      <c r="J13" s="7" t="str">
        <f>IFERROR(__xludf.DUMMYFUNCTION("""COMPUTED_VALUE"""),"1. Form must be created.
2. Section should be created.
3. User has permission to modify section.")</f>
        <v>1. Form must be created.
2. Section should be created.
3. User has permission to modify section.</v>
      </c>
      <c r="K13" s="7" t="str">
        <f>IFERROR(__xludf.DUMMYFUNCTION("""COMPUTED_VALUE"""),"Verify, Row Caption displayed after clicking on section list action.")</f>
        <v>Verify, Row Caption displayed after clicking on section list action.</v>
      </c>
      <c r="L13" s="7" t="str">
        <f>IFERROR(__xludf.DUMMYFUNCTION("""COMPUTED_VALUE"""),"1. Go to section list
2. Click on edit section icon.")</f>
        <v>1. Go to section list
2. Click on edit section icon.</v>
      </c>
      <c r="M13" s="7" t="str">
        <f>IFERROR(__xludf.DUMMYFUNCTION("""COMPUTED_VALUE"""),"Caption :
1. Modify Section
2. Merge Section
3. Split Section
4. Reorder Section
5. Duplicate Section
6. Section Rely on
7. Delete Section
")</f>
        <v>Caption :
1. Modify Section
2. Merge Section
3. Split Section
4. Reorder Section
5. Duplicate Section
6. Section Rely on
7. Delete Section
</v>
      </c>
      <c r="N13" s="7" t="str">
        <f>IFERROR(__xludf.DUMMYFUNCTION("""COMPUTED_VALUE"""),"")</f>
        <v/>
      </c>
      <c r="O13" s="7" t="str">
        <f>IFERROR(__xludf.DUMMYFUNCTION("""COMPUTED_VALUE"""),"1. Modify section changed ot Edit section
2. Section Rely on caption not matched.
3. Reorder section missing")</f>
        <v>1. Modify section changed ot Edit section
2. Section Rely on caption not matched.
3. Reorder section missing</v>
      </c>
      <c r="P13" s="7" t="str">
        <f>IFERROR(__xludf.DUMMYFUNCTION("""COMPUTED_VALUE"""),"Fail")</f>
        <v>Fail</v>
      </c>
      <c r="Q13" s="7" t="str">
        <f>IFERROR(__xludf.DUMMYFUNCTION("""COMPUTED_VALUE"""),"Jaikishan")</f>
        <v>Jaikishan</v>
      </c>
      <c r="R13" s="8">
        <f>IFERROR(__xludf.DUMMYFUNCTION("""COMPUTED_VALUE"""),43795.0)</f>
        <v>43795</v>
      </c>
      <c r="S13" s="7" t="str">
        <f>IFERROR(__xludf.DUMMYFUNCTION("""COMPUTED_VALUE"""),"")</f>
        <v/>
      </c>
      <c r="T13" s="7"/>
      <c r="U13" s="7"/>
      <c r="V13" s="7"/>
      <c r="W13" s="7"/>
      <c r="X13" s="7"/>
      <c r="Y13" s="7"/>
      <c r="Z13" s="7"/>
    </row>
    <row r="14">
      <c r="A14" s="7" t="str">
        <f>IFERROR(__xludf.DUMMYFUNCTION("""COMPUTED_VALUE"""),"TCM_dKosh_General_SMF1_010_028")</f>
        <v>TCM_dKosh_General_SMF1_010_028</v>
      </c>
      <c r="B14" s="7" t="str">
        <f>IFERROR(__xludf.DUMMYFUNCTION("""COMPUTED_VALUE"""),"TP_dKosh_General_SMF1_010")</f>
        <v>TP_dKosh_General_SMF1_010</v>
      </c>
      <c r="C14" s="7">
        <f>IFERROR(__xludf.DUMMYFUNCTION("""COMPUTED_VALUE"""),28.0)</f>
        <v>28</v>
      </c>
      <c r="D14" s="7" t="str">
        <f>IFERROR(__xludf.DUMMYFUNCTION("""COMPUTED_VALUE"""),"Web, Mobile")</f>
        <v>Web, Mobile</v>
      </c>
      <c r="E14" s="7" t="str">
        <f>IFERROR(__xludf.DUMMYFUNCTION("""COMPUTED_VALUE"""),"General")</f>
        <v>General</v>
      </c>
      <c r="F14" s="7" t="str">
        <f>IFERROR(__xludf.DUMMYFUNCTION("""COMPUTED_VALUE"""),"Modify Section")</f>
        <v>Modify Section</v>
      </c>
      <c r="G14" s="7" t="str">
        <f>IFERROR(__xludf.DUMMYFUNCTION("""COMPUTED_VALUE"""),"M")</f>
        <v>M</v>
      </c>
      <c r="H14" s="7" t="str">
        <f>IFERROR(__xludf.DUMMYFUNCTION("""COMPUTED_VALUE"""),"Aditya")</f>
        <v>Aditya</v>
      </c>
      <c r="I14" s="7" t="str">
        <f>IFERROR(__xludf.DUMMYFUNCTION("""COMPUTED_VALUE"""),"Functional")</f>
        <v>Functional</v>
      </c>
      <c r="J14" s="7" t="str">
        <f>IFERROR(__xludf.DUMMYFUNCTION("""COMPUTED_VALUE"""),"1. Form must be created.
2. Section should be created.
3. User has permission to modify section.")</f>
        <v>1. Form must be created.
2. Section should be created.
3. User has permission to modify section.</v>
      </c>
      <c r="K14" s="7" t="str">
        <f>IFERROR(__xludf.DUMMYFUNCTION("""COMPUTED_VALUE"""),"Verify, Questions mapped with section will be shuffled after modifying 'Shuffled questions as 'Yes' from 'No'.")</f>
        <v>Verify, Questions mapped with section will be shuffled after modifying 'Shuffled questions as 'Yes' from 'No'.</v>
      </c>
      <c r="L14" s="7" t="str">
        <f>IFERROR(__xludf.DUMMYFUNCTION("""COMPUTED_VALUE"""),"1. Go to section list
2. Click on edit section icon.
3. Change shuffled question form 'No' to 'Yes' or vice versa.
4. Click on Modify/Save button.
5. Check sequence/order of question in that section.")</f>
        <v>1. Go to section list
2. Click on edit section icon.
3. Change shuffled question form 'No' to 'Yes' or vice versa.
4. Click on Modify/Save button.
5. Check sequence/order of question in that section.</v>
      </c>
      <c r="M14" s="7" t="str">
        <f>IFERROR(__xludf.DUMMYFUNCTION("""COMPUTED_VALUE"""),"Questions should be shuffled accordingly.")</f>
        <v>Questions should be shuffled accordingly.</v>
      </c>
      <c r="N14" s="7" t="str">
        <f>IFERROR(__xludf.DUMMYFUNCTION("""COMPUTED_VALUE"""),"On marking it as Yes, shuffle questions at time of Preview Form")</f>
        <v>On marking it as Yes, shuffle questions at time of Preview Form</v>
      </c>
      <c r="O14" s="7" t="str">
        <f>IFERROR(__xludf.DUMMYFUNCTION("""COMPUTED_VALUE"""),"")</f>
        <v/>
      </c>
      <c r="P14" s="7" t="str">
        <f>IFERROR(__xludf.DUMMYFUNCTION("""COMPUTED_VALUE"""),"?")</f>
        <v>?</v>
      </c>
      <c r="Q14" s="7" t="str">
        <f>IFERROR(__xludf.DUMMYFUNCTION("""COMPUTED_VALUE"""),"Omkar")</f>
        <v>Omkar</v>
      </c>
      <c r="R14" s="8">
        <f>IFERROR(__xludf.DUMMYFUNCTION("""COMPUTED_VALUE"""),43795.0)</f>
        <v>43795</v>
      </c>
      <c r="S14" s="7" t="str">
        <f>IFERROR(__xludf.DUMMYFUNCTION("""COMPUTED_VALUE"""),"")</f>
        <v/>
      </c>
      <c r="T14" s="7"/>
      <c r="U14" s="7"/>
      <c r="V14" s="7"/>
      <c r="W14" s="7"/>
      <c r="X14" s="7"/>
      <c r="Y14" s="7"/>
      <c r="Z14" s="7"/>
    </row>
    <row r="15">
      <c r="A15" s="7" t="str">
        <f>IFERROR(__xludf.DUMMYFUNCTION("""COMPUTED_VALUE"""),"TCM_dKosh_General_SMF1_010_029")</f>
        <v>TCM_dKosh_General_SMF1_010_029</v>
      </c>
      <c r="B15" s="7" t="str">
        <f>IFERROR(__xludf.DUMMYFUNCTION("""COMPUTED_VALUE"""),"TP_dKosh_General_SMF1_010")</f>
        <v>TP_dKosh_General_SMF1_010</v>
      </c>
      <c r="C15" s="7">
        <f>IFERROR(__xludf.DUMMYFUNCTION("""COMPUTED_VALUE"""),29.0)</f>
        <v>29</v>
      </c>
      <c r="D15" s="7" t="str">
        <f>IFERROR(__xludf.DUMMYFUNCTION("""COMPUTED_VALUE"""),"Web, Mobile")</f>
        <v>Web, Mobile</v>
      </c>
      <c r="E15" s="7" t="str">
        <f>IFERROR(__xludf.DUMMYFUNCTION("""COMPUTED_VALUE"""),"General")</f>
        <v>General</v>
      </c>
      <c r="F15" s="7" t="str">
        <f>IFERROR(__xludf.DUMMYFUNCTION("""COMPUTED_VALUE"""),"Modify Section")</f>
        <v>Modify Section</v>
      </c>
      <c r="G15" s="7" t="str">
        <f>IFERROR(__xludf.DUMMYFUNCTION("""COMPUTED_VALUE"""),"M")</f>
        <v>M</v>
      </c>
      <c r="H15" s="7" t="str">
        <f>IFERROR(__xludf.DUMMYFUNCTION("""COMPUTED_VALUE"""),"Aditya")</f>
        <v>Aditya</v>
      </c>
      <c r="I15" s="7" t="str">
        <f>IFERROR(__xludf.DUMMYFUNCTION("""COMPUTED_VALUE"""),"Unit")</f>
        <v>Unit</v>
      </c>
      <c r="J15" s="7" t="str">
        <f>IFERROR(__xludf.DUMMYFUNCTION("""COMPUTED_VALUE"""),"1. Form must be created.
2. Section should be created.
3. User has permission to modify section.")</f>
        <v>1. Form must be created.
2. Section should be created.
3. User has permission to modify section.</v>
      </c>
      <c r="K15" s="7" t="str">
        <f>IFERROR(__xludf.DUMMYFUNCTION("""COMPUTED_VALUE"""),"Verify, Sequence of section changed as per changes done by creator in sequence.")</f>
        <v>Verify, Sequence of section changed as per changes done by creator in sequence.</v>
      </c>
      <c r="L15" s="7" t="str">
        <f>IFERROR(__xludf.DUMMYFUNCTION("""COMPUTED_VALUE"""),"1. Go to section list
2. Click on edit section icon.
3. Change sequence..
4. Click on Modify/Save button.
5. Check sequence of section in that form.")</f>
        <v>1. Go to section list
2. Click on edit section icon.
3. Change sequence..
4. Click on Modify/Save button.
5. Check sequence of section in that form.</v>
      </c>
      <c r="M15" s="7" t="str">
        <f>IFERROR(__xludf.DUMMYFUNCTION("""COMPUTED_VALUE"""),"Sequence should be changed as per changes done by creator/modifier.")</f>
        <v>Sequence should be changed as per changes done by creator/modifier.</v>
      </c>
      <c r="N15" s="7" t="str">
        <f>IFERROR(__xludf.DUMMYFUNCTION("""COMPUTED_VALUE"""),"Change from 4 to 2 then move section in 3
")</f>
        <v>Change from 4 to 2 then move section in 3
</v>
      </c>
      <c r="O15" s="7" t="str">
        <f>IFERROR(__xludf.DUMMYFUNCTION("""COMPUTED_VALUE"""),"It changes but one less than the sequence number")</f>
        <v>It changes but one less than the sequence number</v>
      </c>
      <c r="P15" s="7" t="str">
        <f>IFERROR(__xludf.DUMMYFUNCTION("""COMPUTED_VALUE"""),"Fail")</f>
        <v>Fail</v>
      </c>
      <c r="Q15" s="7" t="str">
        <f>IFERROR(__xludf.DUMMYFUNCTION("""COMPUTED_VALUE"""),"Jaikishan")</f>
        <v>Jaikishan</v>
      </c>
      <c r="R15" s="8">
        <f>IFERROR(__xludf.DUMMYFUNCTION("""COMPUTED_VALUE"""),43795.0)</f>
        <v>43795</v>
      </c>
      <c r="S15" s="7" t="str">
        <f>IFERROR(__xludf.DUMMYFUNCTION("""COMPUTED_VALUE"""),"")</f>
        <v/>
      </c>
      <c r="T15" s="7"/>
      <c r="U15" s="7"/>
      <c r="V15" s="7"/>
      <c r="W15" s="7"/>
      <c r="X15" s="7"/>
      <c r="Y15" s="7"/>
      <c r="Z15" s="7"/>
    </row>
    <row r="16">
      <c r="A16" s="7" t="str">
        <f>IFERROR(__xludf.DUMMYFUNCTION("""COMPUTED_VALUE"""),"TCM_dKosh_General_SMF1_011_035")</f>
        <v>TCM_dKosh_General_SMF1_011_035</v>
      </c>
      <c r="B16" s="7" t="str">
        <f>IFERROR(__xludf.DUMMYFUNCTION("""COMPUTED_VALUE"""),"TP_dKosh_General_SMF1_011")</f>
        <v>TP_dKosh_General_SMF1_011</v>
      </c>
      <c r="C16" s="7">
        <f>IFERROR(__xludf.DUMMYFUNCTION("""COMPUTED_VALUE"""),35.0)</f>
        <v>35</v>
      </c>
      <c r="D16" s="7" t="str">
        <f>IFERROR(__xludf.DUMMYFUNCTION("""COMPUTED_VALUE"""),"Web, Mobile")</f>
        <v>Web, Mobile</v>
      </c>
      <c r="E16" s="7" t="str">
        <f>IFERROR(__xludf.DUMMYFUNCTION("""COMPUTED_VALUE"""),"General")</f>
        <v>General</v>
      </c>
      <c r="F16" s="7" t="str">
        <f>IFERROR(__xludf.DUMMYFUNCTION("""COMPUTED_VALUE"""),"Delete Section")</f>
        <v>Delete Section</v>
      </c>
      <c r="G16" s="7" t="str">
        <f>IFERROR(__xludf.DUMMYFUNCTION("""COMPUTED_VALUE"""),"M")</f>
        <v>M</v>
      </c>
      <c r="H16" s="7" t="str">
        <f>IFERROR(__xludf.DUMMYFUNCTION("""COMPUTED_VALUE"""),"Jaikishan")</f>
        <v>Jaikishan</v>
      </c>
      <c r="I16" s="7" t="str">
        <f>IFERROR(__xludf.DUMMYFUNCTION("""COMPUTED_VALUE"""),"Validation")</f>
        <v>Validation</v>
      </c>
      <c r="J16" s="7" t="str">
        <f>IFERROR(__xludf.DUMMYFUNCTION("""COMPUTED_VALUE"""),"1. Form must be created.
2. User has permission of 'Create section'.")</f>
        <v>1. Form must be created.
2. User has permission of 'Create section'.</v>
      </c>
      <c r="K16" s="7" t="str">
        <f>IFERROR(__xludf.DUMMYFUNCTION("""COMPUTED_VALUE"""),"Verify, post action when click on ""Move all questions to section:""")</f>
        <v>Verify, post action when click on "Move all questions to section:"</v>
      </c>
      <c r="L16" s="7" t="str">
        <f>IFERROR(__xludf.DUMMYFUNCTION("""COMPUTED_VALUE"""),"1. Go to manage form list.
2. Click on List Action.
3. Click on ""Modify Form""
4. Click on section action.
5. Click on Delete Section
6. Check radio button caption")</f>
        <v>1. Go to manage form list.
2. Click on List Action.
3. Click on "Modify Form"
4. Click on section action.
5. Click on Delete Section
6. Check radio button caption</v>
      </c>
      <c r="M16" s="7" t="str">
        <f>IFERROR(__xludf.DUMMYFUNCTION("""COMPUTED_VALUE"""),"Dropdown should be visible with section name arrange with thier sequence number.")</f>
        <v>Dropdown should be visible with section name arrange with thier sequence number.</v>
      </c>
      <c r="N16" s="7" t="str">
        <f>IFERROR(__xludf.DUMMYFUNCTION("""COMPUTED_VALUE"""),"")</f>
        <v/>
      </c>
      <c r="O16" s="7" t="str">
        <f>IFERROR(__xludf.DUMMYFUNCTION("""COMPUTED_VALUE"""),"Not showing according to sequence , it show acc. to section created in DB")</f>
        <v>Not showing according to sequence , it show acc. to section created in DB</v>
      </c>
      <c r="P16" s="7" t="str">
        <f>IFERROR(__xludf.DUMMYFUNCTION("""COMPUTED_VALUE"""),"Fail")</f>
        <v>Fail</v>
      </c>
      <c r="Q16" s="7" t="str">
        <f>IFERROR(__xludf.DUMMYFUNCTION("""COMPUTED_VALUE"""),"Omkar")</f>
        <v>Omkar</v>
      </c>
      <c r="R16" s="8">
        <f>IFERROR(__xludf.DUMMYFUNCTION("""COMPUTED_VALUE"""),43795.0)</f>
        <v>43795</v>
      </c>
      <c r="S16" s="7" t="str">
        <f>IFERROR(__xludf.DUMMYFUNCTION("""COMPUTED_VALUE"""),"")</f>
        <v/>
      </c>
      <c r="T16" s="7"/>
      <c r="U16" s="7"/>
      <c r="V16" s="7"/>
      <c r="W16" s="7"/>
      <c r="X16" s="7"/>
      <c r="Y16" s="7"/>
      <c r="Z16" s="7"/>
    </row>
    <row r="17">
      <c r="A17" s="7" t="str">
        <f>IFERROR(__xludf.DUMMYFUNCTION("""COMPUTED_VALUE"""),"TCM_dKosh_General_SMF1_012_046")</f>
        <v>TCM_dKosh_General_SMF1_012_046</v>
      </c>
      <c r="B17" s="7" t="str">
        <f>IFERROR(__xludf.DUMMYFUNCTION("""COMPUTED_VALUE"""),"TP_dKosh_General_SMF1_012")</f>
        <v>TP_dKosh_General_SMF1_012</v>
      </c>
      <c r="C17" s="7">
        <f>IFERROR(__xludf.DUMMYFUNCTION("""COMPUTED_VALUE"""),46.0)</f>
        <v>46</v>
      </c>
      <c r="D17" s="7" t="str">
        <f>IFERROR(__xludf.DUMMYFUNCTION("""COMPUTED_VALUE"""),"Web, Mobile")</f>
        <v>Web, Mobile</v>
      </c>
      <c r="E17" s="7" t="str">
        <f>IFERROR(__xludf.DUMMYFUNCTION("""COMPUTED_VALUE"""),"General")</f>
        <v>General</v>
      </c>
      <c r="F17" s="7" t="str">
        <f>IFERROR(__xludf.DUMMYFUNCTION("""COMPUTED_VALUE"""),"Merge Section")</f>
        <v>Merge Section</v>
      </c>
      <c r="G17" s="7" t="str">
        <f>IFERROR(__xludf.DUMMYFUNCTION("""COMPUTED_VALUE"""),"M")</f>
        <v>M</v>
      </c>
      <c r="H17" s="7" t="str">
        <f>IFERROR(__xludf.DUMMYFUNCTION("""COMPUTED_VALUE"""),"Jaikishan")</f>
        <v>Jaikishan</v>
      </c>
      <c r="I17" s="7" t="str">
        <f>IFERROR(__xludf.DUMMYFUNCTION("""COMPUTED_VALUE"""),"UI")</f>
        <v>UI</v>
      </c>
      <c r="J17" s="7" t="str">
        <f>IFERROR(__xludf.DUMMYFUNCTION("""COMPUTED_VALUE"""),"1. Form must be created.
2. User has permission of 'Merge section'.")</f>
        <v>1. Form must be created.
2. User has permission of 'Merge section'.</v>
      </c>
      <c r="K17" s="7" t="str">
        <f>IFERROR(__xludf.DUMMYFUNCTION("""COMPUTED_VALUE"""),"Verify, 'Merge Section' dropdown is mandatory.")</f>
        <v>Verify, 'Merge Section' dropdown is mandatory.</v>
      </c>
      <c r="L17" s="7" t="str">
        <f>IFERROR(__xludf.DUMMYFUNCTION("""COMPUTED_VALUE"""),"1. Go to manage form list.
2. Click on List Action.
3. Click on ""Modify Form""
4. Click on section action.
5. Click on merge Section
")</f>
        <v>1. Go to manage form list.
2. Click on List Action.
3. Click on "Modify Form"
4. Click on section action.
5. Click on merge Section
</v>
      </c>
      <c r="M17" s="7" t="str">
        <f>IFERROR(__xludf.DUMMYFUNCTION("""COMPUTED_VALUE"""),"Merge section is not mandatory according to requirement sheet.
")</f>
        <v>Merge section is not mandatory according to requirement sheet.
</v>
      </c>
      <c r="N17" s="7" t="str">
        <f>IFERROR(__xludf.DUMMYFUNCTION("""COMPUTED_VALUE"""),"")</f>
        <v/>
      </c>
      <c r="O17" s="7" t="str">
        <f>IFERROR(__xludf.DUMMYFUNCTION("""COMPUTED_VALUE"""),"Mandatory in merge section")</f>
        <v>Mandatory in merge section</v>
      </c>
      <c r="P17" s="7" t="str">
        <f>IFERROR(__xludf.DUMMYFUNCTION("""COMPUTED_VALUE"""),"Fail")</f>
        <v>Fail</v>
      </c>
      <c r="Q17" s="7" t="str">
        <f>IFERROR(__xludf.DUMMYFUNCTION("""COMPUTED_VALUE"""),"Jaikishan")</f>
        <v>Jaikishan</v>
      </c>
      <c r="R17" s="8">
        <f>IFERROR(__xludf.DUMMYFUNCTION("""COMPUTED_VALUE"""),43795.0)</f>
        <v>43795</v>
      </c>
      <c r="S17" s="7" t="str">
        <f>IFERROR(__xludf.DUMMYFUNCTION("""COMPUTED_VALUE"""),"")</f>
        <v/>
      </c>
      <c r="T17" s="7"/>
      <c r="U17" s="7"/>
      <c r="V17" s="7"/>
      <c r="W17" s="7"/>
      <c r="X17" s="7"/>
      <c r="Y17" s="7"/>
      <c r="Z17" s="7"/>
    </row>
    <row r="18">
      <c r="A18" s="7" t="str">
        <f>IFERROR(__xludf.DUMMYFUNCTION("""COMPUTED_VALUE"""),"TCM
_dKosh_General_SMF1_015_052")</f>
        <v>TCM
_dKosh_General_SMF1_015_052</v>
      </c>
      <c r="B18" s="7" t="str">
        <f>IFERROR(__xludf.DUMMYFUNCTION("""COMPUTED_VALUE"""),"TP_dKosh_General_SMF1_015")</f>
        <v>TP_dKosh_General_SMF1_015</v>
      </c>
      <c r="C18" s="7">
        <f>IFERROR(__xludf.DUMMYFUNCTION("""COMPUTED_VALUE"""),52.0)</f>
        <v>52</v>
      </c>
      <c r="D18" s="7" t="str">
        <f>IFERROR(__xludf.DUMMYFUNCTION("""COMPUTED_VALUE"""),"Web, Mobile")</f>
        <v>Web, Mobile</v>
      </c>
      <c r="E18" s="7" t="str">
        <f>IFERROR(__xludf.DUMMYFUNCTION("""COMPUTED_VALUE"""),"General")</f>
        <v>General</v>
      </c>
      <c r="F18" s="7" t="str">
        <f>IFERROR(__xludf.DUMMYFUNCTION("""COMPUTED_VALUE"""),"Duplicate Section")</f>
        <v>Duplicate Section</v>
      </c>
      <c r="G18" s="7" t="str">
        <f>IFERROR(__xludf.DUMMYFUNCTION("""COMPUTED_VALUE"""),"M
")</f>
        <v>M
</v>
      </c>
      <c r="H18" s="7" t="str">
        <f>IFERROR(__xludf.DUMMYFUNCTION("""COMPUTED_VALUE"""),"Jaikishan")</f>
        <v>Jaikishan</v>
      </c>
      <c r="I18" s="7" t="str">
        <f>IFERROR(__xludf.DUMMYFUNCTION("""COMPUTED_VALUE"""),"UI")</f>
        <v>UI</v>
      </c>
      <c r="J18" s="7" t="str">
        <f>IFERROR(__xludf.DUMMYFUNCTION("""COMPUTED_VALUE"""),"1. Form must be created.
2. User has permission of 'Duplicate section'.")</f>
        <v>1. Form must be created.
2. User has permission of 'Duplicate section'.</v>
      </c>
      <c r="K18" s="7" t="str">
        <f>IFERROR(__xludf.DUMMYFUNCTION("""COMPUTED_VALUE"""),"Verify, ""Duplicate Section"" pop up opened.")</f>
        <v>Verify, "Duplicate Section" pop up opened.</v>
      </c>
      <c r="L18" s="7" t="str">
        <f>IFERROR(__xludf.DUMMYFUNCTION("""COMPUTED_VALUE"""),"1. Go to manage form list.
2. Click on List Action.
3. Click on ""Modify Form""
4. Click on section action.
5. Click on Duplicate Section")</f>
        <v>1. Go to manage form list.
2. Click on List Action.
3. Click on "Modify Form"
4. Click on section action.
5. Click on Duplicate Section</v>
      </c>
      <c r="M18" s="7" t="str">
        <f>IFERROR(__xludf.DUMMYFUNCTION("""COMPUTED_VALUE"""),"""Duplicate Section"" pop-up should be opened.
With Text as ""Are you sure you want to duplicate %1(section name)?")</f>
        <v>"Duplicate Section" pop-up should be opened.
With Text as "Are you sure you want to duplicate %1(section name)?</v>
      </c>
      <c r="N18" s="7" t="str">
        <f>IFERROR(__xludf.DUMMYFUNCTION("""COMPUTED_VALUE"""),"Duplicate section requirement sheet is not present")</f>
        <v>Duplicate section requirement sheet is not present</v>
      </c>
      <c r="O18" s="7" t="str">
        <f>IFERROR(__xludf.DUMMYFUNCTION("""COMPUTED_VALUE"""),"It creates directly duplicate section without any popup.")</f>
        <v>It creates directly duplicate section without any popup.</v>
      </c>
      <c r="P18" s="7" t="str">
        <f>IFERROR(__xludf.DUMMYFUNCTION("""COMPUTED_VALUE"""),"Fail")</f>
        <v>Fail</v>
      </c>
      <c r="Q18" s="7" t="str">
        <f>IFERROR(__xludf.DUMMYFUNCTION("""COMPUTED_VALUE"""),"Omkar")</f>
        <v>Omkar</v>
      </c>
      <c r="R18" s="8">
        <f>IFERROR(__xludf.DUMMYFUNCTION("""COMPUTED_VALUE"""),43795.0)</f>
        <v>43795</v>
      </c>
      <c r="S18" s="7" t="str">
        <f>IFERROR(__xludf.DUMMYFUNCTION("""COMPUTED_VALUE"""),"")</f>
        <v/>
      </c>
      <c r="T18" s="7"/>
      <c r="U18" s="7"/>
      <c r="V18" s="7"/>
      <c r="W18" s="7"/>
      <c r="X18" s="7"/>
      <c r="Y18" s="7"/>
      <c r="Z18" s="7"/>
    </row>
    <row r="19">
      <c r="A19" s="7" t="str">
        <f>IFERROR(__xludf.DUMMYFUNCTION("""COMPUTED_VALUE"""),"TCM
_dKosh_General_SMF1_015_053")</f>
        <v>TCM
_dKosh_General_SMF1_015_053</v>
      </c>
      <c r="B19" s="7" t="str">
        <f>IFERROR(__xludf.DUMMYFUNCTION("""COMPUTED_VALUE"""),"TP_dKosh_General_SMF1_015")</f>
        <v>TP_dKosh_General_SMF1_015</v>
      </c>
      <c r="C19" s="7">
        <f>IFERROR(__xludf.DUMMYFUNCTION("""COMPUTED_VALUE"""),53.0)</f>
        <v>53</v>
      </c>
      <c r="D19" s="7" t="str">
        <f>IFERROR(__xludf.DUMMYFUNCTION("""COMPUTED_VALUE"""),"Web, Mobile")</f>
        <v>Web, Mobile</v>
      </c>
      <c r="E19" s="7" t="str">
        <f>IFERROR(__xludf.DUMMYFUNCTION("""COMPUTED_VALUE"""),"General")</f>
        <v>General</v>
      </c>
      <c r="F19" s="7" t="str">
        <f>IFERROR(__xludf.DUMMYFUNCTION("""COMPUTED_VALUE"""),"Duplicate Section")</f>
        <v>Duplicate Section</v>
      </c>
      <c r="G19" s="7" t="str">
        <f>IFERROR(__xludf.DUMMYFUNCTION("""COMPUTED_VALUE"""),"M
")</f>
        <v>M
</v>
      </c>
      <c r="H19" s="7" t="str">
        <f>IFERROR(__xludf.DUMMYFUNCTION("""COMPUTED_VALUE"""),"Jaikishan")</f>
        <v>Jaikishan</v>
      </c>
      <c r="I19" s="7" t="str">
        <f>IFERROR(__xludf.DUMMYFUNCTION("""COMPUTED_VALUE"""),"UI")</f>
        <v>UI</v>
      </c>
      <c r="J19" s="7" t="str">
        <f>IFERROR(__xludf.DUMMYFUNCTION("""COMPUTED_VALUE"""),"1. Form must be created.
2. User has permission of 'Duplicate section'.")</f>
        <v>1. Form must be created.
2. User has permission of 'Duplicate section'.</v>
      </c>
      <c r="K19" s="7" t="str">
        <f>IFERROR(__xludf.DUMMYFUNCTION("""COMPUTED_VALUE"""),"Verify, buttons when click on ""Duplicate Section"".")</f>
        <v>Verify, buttons when click on "Duplicate Section".</v>
      </c>
      <c r="L19" s="7" t="str">
        <f>IFERROR(__xludf.DUMMYFUNCTION("""COMPUTED_VALUE"""),"1. Go to manage form list.
2. Click on List Action.
3. Click on ""Modify Form""
4. Click on section action.
5. Click on Duplicate Section")</f>
        <v>1. Go to manage form list.
2. Click on List Action.
3. Click on "Modify Form"
4. Click on section action.
5. Click on Duplicate Section</v>
      </c>
      <c r="M19" s="7" t="str">
        <f>IFERROR(__xludf.DUMMYFUNCTION("""COMPUTED_VALUE"""),"Ok and Cancel button should be show")</f>
        <v>Ok and Cancel button should be show</v>
      </c>
      <c r="N19" s="7" t="str">
        <f>IFERROR(__xludf.DUMMYFUNCTION("""COMPUTED_VALUE"""),"")</f>
        <v/>
      </c>
      <c r="O19" s="7" t="str">
        <f>IFERROR(__xludf.DUMMYFUNCTION("""COMPUTED_VALUE"""),"Not show any button.")</f>
        <v>Not show any button.</v>
      </c>
      <c r="P19" s="7" t="str">
        <f>IFERROR(__xludf.DUMMYFUNCTION("""COMPUTED_VALUE"""),"Fail")</f>
        <v>Fail</v>
      </c>
      <c r="Q19" s="7" t="str">
        <f>IFERROR(__xludf.DUMMYFUNCTION("""COMPUTED_VALUE"""),"Omkar")</f>
        <v>Omkar</v>
      </c>
      <c r="R19" s="8">
        <f>IFERROR(__xludf.DUMMYFUNCTION("""COMPUTED_VALUE"""),43795.0)</f>
        <v>43795</v>
      </c>
      <c r="S19" s="7" t="str">
        <f>IFERROR(__xludf.DUMMYFUNCTION("""COMPUTED_VALUE"""),"")</f>
        <v/>
      </c>
      <c r="T19" s="7"/>
      <c r="U19" s="7"/>
      <c r="V19" s="7"/>
      <c r="W19" s="7"/>
      <c r="X19" s="7"/>
      <c r="Y19" s="7"/>
      <c r="Z19" s="7"/>
    </row>
    <row r="20">
      <c r="A20" s="7" t="str">
        <f>IFERROR(__xludf.DUMMYFUNCTION("""COMPUTED_VALUE"""),"TCM
_dKosh_General_SMF1_015_054")</f>
        <v>TCM
_dKosh_General_SMF1_015_054</v>
      </c>
      <c r="B20" s="7" t="str">
        <f>IFERROR(__xludf.DUMMYFUNCTION("""COMPUTED_VALUE"""),"TP_dKosh_General_SMF1_015")</f>
        <v>TP_dKosh_General_SMF1_015</v>
      </c>
      <c r="C20" s="7">
        <f>IFERROR(__xludf.DUMMYFUNCTION("""COMPUTED_VALUE"""),54.0)</f>
        <v>54</v>
      </c>
      <c r="D20" s="7" t="str">
        <f>IFERROR(__xludf.DUMMYFUNCTION("""COMPUTED_VALUE"""),"Web, Mobile")</f>
        <v>Web, Mobile</v>
      </c>
      <c r="E20" s="7" t="str">
        <f>IFERROR(__xludf.DUMMYFUNCTION("""COMPUTED_VALUE"""),"General")</f>
        <v>General</v>
      </c>
      <c r="F20" s="7" t="str">
        <f>IFERROR(__xludf.DUMMYFUNCTION("""COMPUTED_VALUE"""),"Duplicate Section")</f>
        <v>Duplicate Section</v>
      </c>
      <c r="G20" s="7" t="str">
        <f>IFERROR(__xludf.DUMMYFUNCTION("""COMPUTED_VALUE"""),"M
")</f>
        <v>M
</v>
      </c>
      <c r="H20" s="7" t="str">
        <f>IFERROR(__xludf.DUMMYFUNCTION("""COMPUTED_VALUE"""),"Jaikishan")</f>
        <v>Jaikishan</v>
      </c>
      <c r="I20" s="7" t="str">
        <f>IFERROR(__xludf.DUMMYFUNCTION("""COMPUTED_VALUE"""),"Functional")</f>
        <v>Functional</v>
      </c>
      <c r="J20" s="7" t="str">
        <f>IFERROR(__xludf.DUMMYFUNCTION("""COMPUTED_VALUE"""),"1. Form must be created.
2. User has permission of 'Duplicate section'.")</f>
        <v>1. Form must be created.
2. User has permission of 'Duplicate section'.</v>
      </c>
      <c r="K20" s="7" t="str">
        <f>IFERROR(__xludf.DUMMYFUNCTION("""COMPUTED_VALUE"""),"Verify, post action when click on ""Duplicate Section"".")</f>
        <v>Verify, post action when click on "Duplicate Section".</v>
      </c>
      <c r="L20" s="7" t="str">
        <f>IFERROR(__xludf.DUMMYFUNCTION("""COMPUTED_VALUE"""),"1. Go to manage form list.
2. Click on List Action.
3. Click on ""Modify Form""
4. Click on section action.
5. Click on Duplicate Section")</f>
        <v>1. Go to manage form list.
2. Click on List Action.
3. Click on "Modify Form"
4. Click on section action.
5. Click on Duplicate Section</v>
      </c>
      <c r="M20" s="7" t="str">
        <f>IFERROR(__xludf.DUMMYFUNCTION("""COMPUTED_VALUE"""),"Section should be created.")</f>
        <v>Section should be created.</v>
      </c>
      <c r="N20" s="7" t="str">
        <f>IFERROR(__xludf.DUMMYFUNCTION("""COMPUTED_VALUE"""),"With same name or different??")</f>
        <v>With same name or different??</v>
      </c>
      <c r="O20" s="7" t="str">
        <f>IFERROR(__xludf.DUMMYFUNCTION("""COMPUTED_VALUE"""),"Untitled Section")</f>
        <v>Untitled Section</v>
      </c>
      <c r="P20" s="7" t="str">
        <f>IFERROR(__xludf.DUMMYFUNCTION("""COMPUTED_VALUE"""),"?")</f>
        <v>?</v>
      </c>
      <c r="Q20" s="7" t="str">
        <f>IFERROR(__xludf.DUMMYFUNCTION("""COMPUTED_VALUE"""),"")</f>
        <v/>
      </c>
      <c r="R20" s="8">
        <f>IFERROR(__xludf.DUMMYFUNCTION("""COMPUTED_VALUE"""),43795.0)</f>
        <v>43795</v>
      </c>
      <c r="S20" s="7" t="str">
        <f>IFERROR(__xludf.DUMMYFUNCTION("""COMPUTED_VALUE"""),"")</f>
        <v/>
      </c>
      <c r="T20" s="7"/>
      <c r="U20" s="7"/>
      <c r="V20" s="7"/>
      <c r="W20" s="7"/>
      <c r="X20" s="7"/>
      <c r="Y20" s="7"/>
      <c r="Z20" s="7"/>
    </row>
    <row r="21">
      <c r="A21" s="7" t="str">
        <f>IFERROR(__xludf.DUMMYFUNCTION("""COMPUTED_VALUE"""),"TCM
_dKosh_General_SMF1_014_057")</f>
        <v>TCM
_dKosh_General_SMF1_014_057</v>
      </c>
      <c r="B21" s="7" t="str">
        <f>IFERROR(__xludf.DUMMYFUNCTION("""COMPUTED_VALUE"""),"TP_dKosh_General_SMF1_014")</f>
        <v>TP_dKosh_General_SMF1_014</v>
      </c>
      <c r="C21" s="7">
        <f>IFERROR(__xludf.DUMMYFUNCTION("""COMPUTED_VALUE"""),57.0)</f>
        <v>57</v>
      </c>
      <c r="D21" s="7" t="str">
        <f>IFERROR(__xludf.DUMMYFUNCTION("""COMPUTED_VALUE"""),"Web, Mobile")</f>
        <v>Web, Mobile</v>
      </c>
      <c r="E21" s="7" t="str">
        <f>IFERROR(__xludf.DUMMYFUNCTION("""COMPUTED_VALUE"""),"General")</f>
        <v>General</v>
      </c>
      <c r="F21" s="7" t="str">
        <f>IFERROR(__xludf.DUMMYFUNCTION("""COMPUTED_VALUE"""),"Reorder Section")</f>
        <v>Reorder Section</v>
      </c>
      <c r="G21" s="7" t="str">
        <f>IFERROR(__xludf.DUMMYFUNCTION("""COMPUTED_VALUE"""),"M
")</f>
        <v>M
</v>
      </c>
      <c r="H21" s="7" t="str">
        <f>IFERROR(__xludf.DUMMYFUNCTION("""COMPUTED_VALUE"""),"Jaikishan")</f>
        <v>Jaikishan</v>
      </c>
      <c r="I21" s="7" t="str">
        <f>IFERROR(__xludf.DUMMYFUNCTION("""COMPUTED_VALUE"""),"UI")</f>
        <v>UI</v>
      </c>
      <c r="J21" s="7" t="str">
        <f>IFERROR(__xludf.DUMMYFUNCTION("""COMPUTED_VALUE"""),"1. Form must be created.
2. User has permission of 'Reorder section'.")</f>
        <v>1. Form must be created.
2. User has permission of 'Reorder section'.</v>
      </c>
      <c r="K21" s="7" t="str">
        <f>IFERROR(__xludf.DUMMYFUNCTION("""COMPUTED_VALUE"""),"Verify, ""Reorder Section"" pop up opened.")</f>
        <v>Verify, "Reorder Section" pop up opened.</v>
      </c>
      <c r="L21" s="7" t="str">
        <f>IFERROR(__xludf.DUMMYFUNCTION("""COMPUTED_VALUE"""),"1. Go to manage form list.
2. Click on List Action.
3. Click on ""Modify Form""
4. Click on section action.
5. Click on Reorder Section")</f>
        <v>1. Go to manage form list.
2. Click on List Action.
3. Click on "Modify Form"
4. Click on section action.
5. Click on Reorder Section</v>
      </c>
      <c r="M21" s="7" t="str">
        <f>IFERROR(__xludf.DUMMYFUNCTION("""COMPUTED_VALUE"""),"""Reorder Section"" pop-up should be opened.
")</f>
        <v>"Reorder Section" pop-up should be opened.
</v>
      </c>
      <c r="N21" s="7" t="str">
        <f>IFERROR(__xludf.DUMMYFUNCTION("""COMPUTED_VALUE"""),"")</f>
        <v/>
      </c>
      <c r="O21" s="7" t="str">
        <f>IFERROR(__xludf.DUMMYFUNCTION("""COMPUTED_VALUE"""),"It shows ""Set Question Sequence"" pop-up
")</f>
        <v>It shows "Set Question Sequence" pop-up
</v>
      </c>
      <c r="P21" s="7" t="str">
        <f>IFERROR(__xludf.DUMMYFUNCTION("""COMPUTED_VALUE"""),"Fail")</f>
        <v>Fail</v>
      </c>
      <c r="Q21" s="7" t="str">
        <f>IFERROR(__xludf.DUMMYFUNCTION("""COMPUTED_VALUE"""),"Sanjay")</f>
        <v>Sanjay</v>
      </c>
      <c r="R21" s="8">
        <f>IFERROR(__xludf.DUMMYFUNCTION("""COMPUTED_VALUE"""),43795.0)</f>
        <v>43795</v>
      </c>
      <c r="S21" s="7" t="str">
        <f>IFERROR(__xludf.DUMMYFUNCTION("""COMPUTED_VALUE"""),"")</f>
        <v/>
      </c>
      <c r="T21" s="7"/>
      <c r="U21" s="7"/>
      <c r="V21" s="7"/>
      <c r="W21" s="7"/>
      <c r="X21" s="7"/>
      <c r="Y21" s="7"/>
      <c r="Z21" s="7"/>
    </row>
    <row r="22">
      <c r="A22" s="7" t="str">
        <f>IFERROR(__xludf.DUMMYFUNCTION("""COMPUTED_VALUE"""),"TCM
_dKosh_General_SMF1_014_058")</f>
        <v>TCM
_dKosh_General_SMF1_014_058</v>
      </c>
      <c r="B22" s="7" t="str">
        <f>IFERROR(__xludf.DUMMYFUNCTION("""COMPUTED_VALUE"""),"TP_dKosh_General_SMF1_014")</f>
        <v>TP_dKosh_General_SMF1_014</v>
      </c>
      <c r="C22" s="7">
        <f>IFERROR(__xludf.DUMMYFUNCTION("""COMPUTED_VALUE"""),58.0)</f>
        <v>58</v>
      </c>
      <c r="D22" s="7" t="str">
        <f>IFERROR(__xludf.DUMMYFUNCTION("""COMPUTED_VALUE"""),"Web, Mobile")</f>
        <v>Web, Mobile</v>
      </c>
      <c r="E22" s="7" t="str">
        <f>IFERROR(__xludf.DUMMYFUNCTION("""COMPUTED_VALUE"""),"General")</f>
        <v>General</v>
      </c>
      <c r="F22" s="7" t="str">
        <f>IFERROR(__xludf.DUMMYFUNCTION("""COMPUTED_VALUE"""),"Reorder Section")</f>
        <v>Reorder Section</v>
      </c>
      <c r="G22" s="7" t="str">
        <f>IFERROR(__xludf.DUMMYFUNCTION("""COMPUTED_VALUE"""),"M
")</f>
        <v>M
</v>
      </c>
      <c r="H22" s="7" t="str">
        <f>IFERROR(__xludf.DUMMYFUNCTION("""COMPUTED_VALUE"""),"Jaikishan")</f>
        <v>Jaikishan</v>
      </c>
      <c r="I22" s="7" t="str">
        <f>IFERROR(__xludf.DUMMYFUNCTION("""COMPUTED_VALUE"""),"UI")</f>
        <v>UI</v>
      </c>
      <c r="J22" s="7" t="str">
        <f>IFERROR(__xludf.DUMMYFUNCTION("""COMPUTED_VALUE"""),"1. Form must be created.
2. User has permission of 'Reorder section'.")</f>
        <v>1. Form must be created.
2. User has permission of 'Reorder section'.</v>
      </c>
      <c r="K22" s="7" t="str">
        <f>IFERROR(__xludf.DUMMYFUNCTION("""COMPUTED_VALUE"""),"Verify, Title &amp; button labels of ""Reorder Section""")</f>
        <v>Verify, Title &amp; button labels of "Reorder Section"</v>
      </c>
      <c r="L22" s="7" t="str">
        <f>IFERROR(__xludf.DUMMYFUNCTION("""COMPUTED_VALUE"""),"1. Go to manage form list.
2. Click on List Action.
3. Click on ""Modify Form""
4. Click on section action.
5. Click on Reorder Section")</f>
        <v>1. Go to manage form list.
2. Click on List Action.
3. Click on "Modify Form"
4. Click on section action.
5. Click on Reorder Section</v>
      </c>
      <c r="M22" s="7" t="str">
        <f>IFERROR(__xludf.DUMMYFUNCTION("""COMPUTED_VALUE"""),"Title : Reorder Section
Button : Cross &amp; Ok button")</f>
        <v>Title : Reorder Section
Button : Cross &amp; Ok button</v>
      </c>
      <c r="N22" s="7" t="str">
        <f>IFERROR(__xludf.DUMMYFUNCTION("""COMPUTED_VALUE"""),"")</f>
        <v/>
      </c>
      <c r="O22" s="7" t="str">
        <f>IFERROR(__xludf.DUMMYFUNCTION("""COMPUTED_VALUE"""),"Title:Set Question Sequence Button:Submit or Cross")</f>
        <v>Title:Set Question Sequence Button:Submit or Cross</v>
      </c>
      <c r="P22" s="7" t="str">
        <f>IFERROR(__xludf.DUMMYFUNCTION("""COMPUTED_VALUE"""),"Fail")</f>
        <v>Fail</v>
      </c>
      <c r="Q22" s="7" t="str">
        <f>IFERROR(__xludf.DUMMYFUNCTION("""COMPUTED_VALUE"""),"Sanjay")</f>
        <v>Sanjay</v>
      </c>
      <c r="R22" s="8">
        <f>IFERROR(__xludf.DUMMYFUNCTION("""COMPUTED_VALUE"""),43795.0)</f>
        <v>43795</v>
      </c>
      <c r="S22" s="7" t="str">
        <f>IFERROR(__xludf.DUMMYFUNCTION("""COMPUTED_VALUE"""),"")</f>
        <v/>
      </c>
      <c r="T22" s="7"/>
      <c r="U22" s="7"/>
      <c r="V22" s="7"/>
      <c r="W22" s="7"/>
      <c r="X22" s="7"/>
      <c r="Y22" s="7"/>
      <c r="Z22" s="7"/>
    </row>
    <row r="23">
      <c r="A23" s="7" t="str">
        <f>IFERROR(__xludf.DUMMYFUNCTION("""COMPUTED_VALUE"""),"TCM
_dKosh_General_SMF1_014_059")</f>
        <v>TCM
_dKosh_General_SMF1_014_059</v>
      </c>
      <c r="B23" s="7" t="str">
        <f>IFERROR(__xludf.DUMMYFUNCTION("""COMPUTED_VALUE"""),"TP_dKosh_General_SMF1_014")</f>
        <v>TP_dKosh_General_SMF1_014</v>
      </c>
      <c r="C23" s="7">
        <f>IFERROR(__xludf.DUMMYFUNCTION("""COMPUTED_VALUE"""),59.0)</f>
        <v>59</v>
      </c>
      <c r="D23" s="7" t="str">
        <f>IFERROR(__xludf.DUMMYFUNCTION("""COMPUTED_VALUE"""),"Web, Mobile")</f>
        <v>Web, Mobile</v>
      </c>
      <c r="E23" s="7" t="str">
        <f>IFERROR(__xludf.DUMMYFUNCTION("""COMPUTED_VALUE"""),"General")</f>
        <v>General</v>
      </c>
      <c r="F23" s="7" t="str">
        <f>IFERROR(__xludf.DUMMYFUNCTION("""COMPUTED_VALUE"""),"Reorder Section")</f>
        <v>Reorder Section</v>
      </c>
      <c r="G23" s="7" t="str">
        <f>IFERROR(__xludf.DUMMYFUNCTION("""COMPUTED_VALUE"""),"M
")</f>
        <v>M
</v>
      </c>
      <c r="H23" s="7" t="str">
        <f>IFERROR(__xludf.DUMMYFUNCTION("""COMPUTED_VALUE"""),"Jaikishan")</f>
        <v>Jaikishan</v>
      </c>
      <c r="I23" s="7" t="str">
        <f>IFERROR(__xludf.DUMMYFUNCTION("""COMPUTED_VALUE"""),"Validation")</f>
        <v>Validation</v>
      </c>
      <c r="J23" s="7" t="str">
        <f>IFERROR(__xludf.DUMMYFUNCTION("""COMPUTED_VALUE"""),"1. Form must be created.
2. User has permission of 'Reorder section'.")</f>
        <v>1. Form must be created.
2. User has permission of 'Reorder section'.</v>
      </c>
      <c r="K23" s="7" t="str">
        <f>IFERROR(__xludf.DUMMYFUNCTION("""COMPUTED_VALUE"""),"Verify, Section Name displayed in ""Reorder Section"" list.")</f>
        <v>Verify, Section Name displayed in "Reorder Section" list.</v>
      </c>
      <c r="L23" s="7" t="str">
        <f>IFERROR(__xludf.DUMMYFUNCTION("""COMPUTED_VALUE"""),"1. Go to manage form list.
2. Click on List Action.
3. Click on ""Modify Form""
4. Click on section action.
5. Click on Reorder Section")</f>
        <v>1. Go to manage form list.
2. Click on List Action.
3. Click on "Modify Form"
4. Click on section action.
5. Click on Reorder Section</v>
      </c>
      <c r="M23" s="7" t="str">
        <f>IFERROR(__xludf.DUMMYFUNCTION("""COMPUTED_VALUE"""),"All Section should be show in Reorder list.")</f>
        <v>All Section should be show in Reorder list.</v>
      </c>
      <c r="N23" s="7" t="str">
        <f>IFERROR(__xludf.DUMMYFUNCTION("""COMPUTED_VALUE"""),"")</f>
        <v/>
      </c>
      <c r="O23" s="7" t="str">
        <f>IFERROR(__xludf.DUMMYFUNCTION("""COMPUTED_VALUE"""),"Showing short name of a section in Reorder list")</f>
        <v>Showing short name of a section in Reorder list</v>
      </c>
      <c r="P23" s="7" t="str">
        <f>IFERROR(__xludf.DUMMYFUNCTION("""COMPUTED_VALUE"""),"Fail")</f>
        <v>Fail</v>
      </c>
      <c r="Q23" s="7" t="str">
        <f>IFERROR(__xludf.DUMMYFUNCTION("""COMPUTED_VALUE"""),"Sanjay")</f>
        <v>Sanjay</v>
      </c>
      <c r="R23" s="8">
        <f>IFERROR(__xludf.DUMMYFUNCTION("""COMPUTED_VALUE"""),43795.0)</f>
        <v>43795</v>
      </c>
      <c r="S23" s="7" t="str">
        <f>IFERROR(__xludf.DUMMYFUNCTION("""COMPUTED_VALUE"""),"")</f>
        <v/>
      </c>
      <c r="T23" s="7"/>
      <c r="U23" s="7"/>
      <c r="V23" s="7"/>
      <c r="W23" s="7"/>
      <c r="X23" s="7"/>
      <c r="Y23" s="7"/>
      <c r="Z23" s="7"/>
    </row>
    <row r="24">
      <c r="A24" s="7" t="str">
        <f>IFERROR(__xludf.DUMMYFUNCTION("""COMPUTED_VALUE"""),"TCM
_dKosh_General_SMF1_014_060")</f>
        <v>TCM
_dKosh_General_SMF1_014_060</v>
      </c>
      <c r="B24" s="7" t="str">
        <f>IFERROR(__xludf.DUMMYFUNCTION("""COMPUTED_VALUE"""),"TP_dKosh_General_SMF1_014")</f>
        <v>TP_dKosh_General_SMF1_014</v>
      </c>
      <c r="C24" s="7">
        <f>IFERROR(__xludf.DUMMYFUNCTION("""COMPUTED_VALUE"""),60.0)</f>
        <v>60</v>
      </c>
      <c r="D24" s="7" t="str">
        <f>IFERROR(__xludf.DUMMYFUNCTION("""COMPUTED_VALUE"""),"Web, Mobile")</f>
        <v>Web, Mobile</v>
      </c>
      <c r="E24" s="7" t="str">
        <f>IFERROR(__xludf.DUMMYFUNCTION("""COMPUTED_VALUE"""),"General")</f>
        <v>General</v>
      </c>
      <c r="F24" s="7" t="str">
        <f>IFERROR(__xludf.DUMMYFUNCTION("""COMPUTED_VALUE"""),"Reorder Section")</f>
        <v>Reorder Section</v>
      </c>
      <c r="G24" s="7" t="str">
        <f>IFERROR(__xludf.DUMMYFUNCTION("""COMPUTED_VALUE"""),"M
")</f>
        <v>M
</v>
      </c>
      <c r="H24" s="7" t="str">
        <f>IFERROR(__xludf.DUMMYFUNCTION("""COMPUTED_VALUE"""),"Jaikishan")</f>
        <v>Jaikishan</v>
      </c>
      <c r="I24" s="7" t="str">
        <f>IFERROR(__xludf.DUMMYFUNCTION("""COMPUTED_VALUE"""),"Validation")</f>
        <v>Validation</v>
      </c>
      <c r="J24" s="7" t="str">
        <f>IFERROR(__xludf.DUMMYFUNCTION("""COMPUTED_VALUE"""),"1. Form must be created.
2. User has permission of 'Reorder section'.")</f>
        <v>1. Form must be created.
2. User has permission of 'Reorder section'.</v>
      </c>
      <c r="K24" s="7" t="str">
        <f>IFERROR(__xludf.DUMMYFUNCTION("""COMPUTED_VALUE"""),"Verify, Section ordering in ""Reorder Section"" list.")</f>
        <v>Verify, Section ordering in "Reorder Section" list.</v>
      </c>
      <c r="L24" s="7" t="str">
        <f>IFERROR(__xludf.DUMMYFUNCTION("""COMPUTED_VALUE"""),"1. Go to manage form list.
2. Click on List Action.
3. Click on ""Modify Form""
4. Click on section action.
5. Click on Reorder Section")</f>
        <v>1. Go to manage form list.
2. Click on List Action.
3. Click on "Modify Form"
4. Click on section action.
5. Click on Reorder Section</v>
      </c>
      <c r="M24" s="7" t="str">
        <f>IFERROR(__xludf.DUMMYFUNCTION("""COMPUTED_VALUE"""),"Section list should be show according to thier sequence number.")</f>
        <v>Section list should be show according to thier sequence number.</v>
      </c>
      <c r="N24" s="7" t="str">
        <f>IFERROR(__xludf.DUMMYFUNCTION("""COMPUTED_VALUE"""),"")</f>
        <v/>
      </c>
      <c r="O24" s="7" t="str">
        <f>IFERROR(__xludf.DUMMYFUNCTION("""COMPUTED_VALUE"""),"Not showing according to thier sequence number.")</f>
        <v>Not showing according to thier sequence number.</v>
      </c>
      <c r="P24" s="7" t="str">
        <f>IFERROR(__xludf.DUMMYFUNCTION("""COMPUTED_VALUE"""),"Fail")</f>
        <v>Fail</v>
      </c>
      <c r="Q24" s="7" t="str">
        <f>IFERROR(__xludf.DUMMYFUNCTION("""COMPUTED_VALUE"""),"Sanjay")</f>
        <v>Sanjay</v>
      </c>
      <c r="R24" s="8">
        <f>IFERROR(__xludf.DUMMYFUNCTION("""COMPUTED_VALUE"""),43795.0)</f>
        <v>43795</v>
      </c>
      <c r="S24" s="7" t="str">
        <f>IFERROR(__xludf.DUMMYFUNCTION("""COMPUTED_VALUE"""),"")</f>
        <v/>
      </c>
      <c r="T24" s="7"/>
      <c r="U24" s="7"/>
      <c r="V24" s="7"/>
      <c r="W24" s="7"/>
      <c r="X24" s="7"/>
      <c r="Y24" s="7"/>
      <c r="Z24" s="7"/>
    </row>
    <row r="25">
      <c r="A25" s="7" t="str">
        <f>IFERROR(__xludf.DUMMYFUNCTION("""COMPUTED_VALUE"""),"TCM
_dKosh_General_SMF1_014_061")</f>
        <v>TCM
_dKosh_General_SMF1_014_061</v>
      </c>
      <c r="B25" s="7" t="str">
        <f>IFERROR(__xludf.DUMMYFUNCTION("""COMPUTED_VALUE"""),"TP_dKosh_General_SMF1_014")</f>
        <v>TP_dKosh_General_SMF1_014</v>
      </c>
      <c r="C25" s="7">
        <f>IFERROR(__xludf.DUMMYFUNCTION("""COMPUTED_VALUE"""),61.0)</f>
        <v>61</v>
      </c>
      <c r="D25" s="7" t="str">
        <f>IFERROR(__xludf.DUMMYFUNCTION("""COMPUTED_VALUE"""),"Web, Mobile")</f>
        <v>Web, Mobile</v>
      </c>
      <c r="E25" s="7" t="str">
        <f>IFERROR(__xludf.DUMMYFUNCTION("""COMPUTED_VALUE"""),"General")</f>
        <v>General</v>
      </c>
      <c r="F25" s="7" t="str">
        <f>IFERROR(__xludf.DUMMYFUNCTION("""COMPUTED_VALUE"""),"Reorder Section")</f>
        <v>Reorder Section</v>
      </c>
      <c r="G25" s="7" t="str">
        <f>IFERROR(__xludf.DUMMYFUNCTION("""COMPUTED_VALUE"""),"M
")</f>
        <v>M
</v>
      </c>
      <c r="H25" s="7" t="str">
        <f>IFERROR(__xludf.DUMMYFUNCTION("""COMPUTED_VALUE"""),"Jaikishan")</f>
        <v>Jaikishan</v>
      </c>
      <c r="I25" s="7" t="str">
        <f>IFERROR(__xludf.DUMMYFUNCTION("""COMPUTED_VALUE"""),"Functional")</f>
        <v>Functional</v>
      </c>
      <c r="J25" s="7" t="str">
        <f>IFERROR(__xludf.DUMMYFUNCTION("""COMPUTED_VALUE"""),"1. Form must be created.
2. User has permission of 'Reorder section'.")</f>
        <v>1. Form must be created.
2. User has permission of 'Reorder section'.</v>
      </c>
      <c r="K25" s="7" t="str">
        <f>IFERROR(__xludf.DUMMYFUNCTION("""COMPUTED_VALUE"""),"Verify, Up &amp; Down arrow in Reorder section list")</f>
        <v>Verify, Up &amp; Down arrow in Reorder section list</v>
      </c>
      <c r="L25" s="7" t="str">
        <f>IFERROR(__xludf.DUMMYFUNCTION("""COMPUTED_VALUE"""),"1. Go to manage form list.
2. Click on List Action.
3. Click on ""Modify Form""
4. Click on section action.
5. Click on Reorder Section
6. Click on Up/Down arrow")</f>
        <v>1. Go to manage form list.
2. Click on List Action.
3. Click on "Modify Form"
4. Click on section action.
5. Click on Reorder Section
6. Click on Up/Down arrow</v>
      </c>
      <c r="M25" s="7" t="str">
        <f>IFERROR(__xludf.DUMMYFUNCTION("""COMPUTED_VALUE"""),"Section should be move Up/Down according to arrow button.")</f>
        <v>Section should be move Up/Down according to arrow button.</v>
      </c>
      <c r="N25" s="7" t="str">
        <f>IFERROR(__xludf.DUMMYFUNCTION("""COMPUTED_VALUE"""),"")</f>
        <v/>
      </c>
      <c r="O25" s="7" t="str">
        <f>IFERROR(__xludf.DUMMYFUNCTION("""COMPUTED_VALUE"""),"No arrow button for Up/Down the section")</f>
        <v>No arrow button for Up/Down the section</v>
      </c>
      <c r="P25" s="7" t="str">
        <f>IFERROR(__xludf.DUMMYFUNCTION("""COMPUTED_VALUE"""),"Fail")</f>
        <v>Fail</v>
      </c>
      <c r="Q25" s="7" t="str">
        <f>IFERROR(__xludf.DUMMYFUNCTION("""COMPUTED_VALUE"""),"Sanjay")</f>
        <v>Sanjay</v>
      </c>
      <c r="R25" s="8">
        <f>IFERROR(__xludf.DUMMYFUNCTION("""COMPUTED_VALUE"""),43795.0)</f>
        <v>43795</v>
      </c>
      <c r="S25" s="7" t="str">
        <f>IFERROR(__xludf.DUMMYFUNCTION("""COMPUTED_VALUE"""),"")</f>
        <v/>
      </c>
      <c r="T25" s="7"/>
      <c r="U25" s="7"/>
      <c r="V25" s="7"/>
      <c r="W25" s="7"/>
      <c r="X25" s="7"/>
      <c r="Y25" s="7"/>
      <c r="Z25" s="7"/>
    </row>
    <row r="26">
      <c r="A26" s="7" t="str">
        <f>IFERROR(__xludf.DUMMYFUNCTION("""COMPUTED_VALUE"""),"TCM
_dKosh_General_SMF1_014_062")</f>
        <v>TCM
_dKosh_General_SMF1_014_062</v>
      </c>
      <c r="B26" s="7" t="str">
        <f>IFERROR(__xludf.DUMMYFUNCTION("""COMPUTED_VALUE"""),"TP_dKosh_General_SMF1_014")</f>
        <v>TP_dKosh_General_SMF1_014</v>
      </c>
      <c r="C26" s="7">
        <f>IFERROR(__xludf.DUMMYFUNCTION("""COMPUTED_VALUE"""),62.0)</f>
        <v>62</v>
      </c>
      <c r="D26" s="7" t="str">
        <f>IFERROR(__xludf.DUMMYFUNCTION("""COMPUTED_VALUE"""),"Web, Mobile")</f>
        <v>Web, Mobile</v>
      </c>
      <c r="E26" s="7" t="str">
        <f>IFERROR(__xludf.DUMMYFUNCTION("""COMPUTED_VALUE"""),"General")</f>
        <v>General</v>
      </c>
      <c r="F26" s="7" t="str">
        <f>IFERROR(__xludf.DUMMYFUNCTION("""COMPUTED_VALUE"""),"Reorder Section")</f>
        <v>Reorder Section</v>
      </c>
      <c r="G26" s="7" t="str">
        <f>IFERROR(__xludf.DUMMYFUNCTION("""COMPUTED_VALUE"""),"M
")</f>
        <v>M
</v>
      </c>
      <c r="H26" s="7" t="str">
        <f>IFERROR(__xludf.DUMMYFUNCTION("""COMPUTED_VALUE"""),"Jaikishan")</f>
        <v>Jaikishan</v>
      </c>
      <c r="I26" s="7" t="str">
        <f>IFERROR(__xludf.DUMMYFUNCTION("""COMPUTED_VALUE"""),"Functional")</f>
        <v>Functional</v>
      </c>
      <c r="J26" s="7" t="str">
        <f>IFERROR(__xludf.DUMMYFUNCTION("""COMPUTED_VALUE"""),"1. Form must be created.
2. User has permission of 'Reorder section'.")</f>
        <v>1. Form must be created.
2. User has permission of 'Reorder section'.</v>
      </c>
      <c r="K26" s="7" t="str">
        <f>IFERROR(__xludf.DUMMYFUNCTION("""COMPUTED_VALUE"""),"Verify, Drag section in Reorder section list")</f>
        <v>Verify, Drag section in Reorder section list</v>
      </c>
      <c r="L26" s="7" t="str">
        <f>IFERROR(__xludf.DUMMYFUNCTION("""COMPUTED_VALUE"""),"1. Go to manage form list.
2. Click on List Action.
3. Click on ""Modify Form""
4. Click on section action.
5. Click on Reorder Section
6. Drag section")</f>
        <v>1. Go to manage form list.
2. Click on List Action.
3. Click on "Modify Form"
4. Click on section action.
5. Click on Reorder Section
6. Drag section</v>
      </c>
      <c r="M26" s="7" t="str">
        <f>IFERROR(__xludf.DUMMYFUNCTION("""COMPUTED_VALUE"""),"Section should be move when drag section from one place to another.")</f>
        <v>Section should be move when drag section from one place to another.</v>
      </c>
      <c r="N26" s="7" t="str">
        <f>IFERROR(__xludf.DUMMYFUNCTION("""COMPUTED_VALUE"""),"")</f>
        <v/>
      </c>
      <c r="O26" s="7" t="str">
        <f>IFERROR(__xludf.DUMMYFUNCTION("""COMPUTED_VALUE"""),"Drag functionality is working but not in section
")</f>
        <v>Drag functionality is working but not in section
</v>
      </c>
      <c r="P26" s="7" t="str">
        <f>IFERROR(__xludf.DUMMYFUNCTION("""COMPUTED_VALUE"""),"Fail")</f>
        <v>Fail</v>
      </c>
      <c r="Q26" s="7" t="str">
        <f>IFERROR(__xludf.DUMMYFUNCTION("""COMPUTED_VALUE"""),"Sanjay")</f>
        <v>Sanjay</v>
      </c>
      <c r="R26" s="8">
        <f>IFERROR(__xludf.DUMMYFUNCTION("""COMPUTED_VALUE"""),43795.0)</f>
        <v>43795</v>
      </c>
      <c r="S26" s="7" t="str">
        <f>IFERROR(__xludf.DUMMYFUNCTION("""COMPUTED_VALUE"""),"")</f>
        <v/>
      </c>
      <c r="T26" s="7"/>
      <c r="U26" s="7"/>
      <c r="V26" s="7"/>
      <c r="W26" s="7"/>
      <c r="X26" s="7"/>
      <c r="Y26" s="7"/>
      <c r="Z26" s="7"/>
    </row>
    <row r="27">
      <c r="A27" s="7" t="str">
        <f>IFERROR(__xludf.DUMMYFUNCTION("""COMPUTED_VALUE"""),"TCM
_dKosh_General_SMF1_014_063")</f>
        <v>TCM
_dKosh_General_SMF1_014_063</v>
      </c>
      <c r="B27" s="7" t="str">
        <f>IFERROR(__xludf.DUMMYFUNCTION("""COMPUTED_VALUE"""),"TP_dKosh_General_SMF1_014")</f>
        <v>TP_dKosh_General_SMF1_014</v>
      </c>
      <c r="C27" s="7">
        <f>IFERROR(__xludf.DUMMYFUNCTION("""COMPUTED_VALUE"""),63.0)</f>
        <v>63</v>
      </c>
      <c r="D27" s="7" t="str">
        <f>IFERROR(__xludf.DUMMYFUNCTION("""COMPUTED_VALUE"""),"Web, Mobile")</f>
        <v>Web, Mobile</v>
      </c>
      <c r="E27" s="7" t="str">
        <f>IFERROR(__xludf.DUMMYFUNCTION("""COMPUTED_VALUE"""),"General")</f>
        <v>General</v>
      </c>
      <c r="F27" s="7" t="str">
        <f>IFERROR(__xludf.DUMMYFUNCTION("""COMPUTED_VALUE"""),"Reorder Section")</f>
        <v>Reorder Section</v>
      </c>
      <c r="G27" s="7" t="str">
        <f>IFERROR(__xludf.DUMMYFUNCTION("""COMPUTED_VALUE"""),"M
")</f>
        <v>M
</v>
      </c>
      <c r="H27" s="7" t="str">
        <f>IFERROR(__xludf.DUMMYFUNCTION("""COMPUTED_VALUE"""),"Jaikishan")</f>
        <v>Jaikishan</v>
      </c>
      <c r="I27" s="7" t="str">
        <f>IFERROR(__xludf.DUMMYFUNCTION("""COMPUTED_VALUE"""),"Functional")</f>
        <v>Functional</v>
      </c>
      <c r="J27" s="7" t="str">
        <f>IFERROR(__xludf.DUMMYFUNCTION("""COMPUTED_VALUE"""),"1. Form must be created.
2. User has permission of 'Reorder section'.")</f>
        <v>1. Form must be created.
2. User has permission of 'Reorder section'.</v>
      </c>
      <c r="K27" s="7" t="str">
        <f>IFERROR(__xludf.DUMMYFUNCTION("""COMPUTED_VALUE"""),"Verfiy, Sequence number when we reorder section.")</f>
        <v>Verfiy, Sequence number when we reorder section.</v>
      </c>
      <c r="L27" s="7" t="str">
        <f>IFERROR(__xludf.DUMMYFUNCTION("""COMPUTED_VALUE"""),"1. Go to manage form list.
2. Click on List Action.
3. Click on ""Modify Form""
4. Click on section action.
5. Click on Reorder Section
6. Drag section")</f>
        <v>1. Go to manage form list.
2. Click on List Action.
3. Click on "Modify Form"
4. Click on section action.
5. Click on Reorder Section
6. Drag section</v>
      </c>
      <c r="M27" s="7" t="str">
        <f>IFERROR(__xludf.DUMMYFUNCTION("""COMPUTED_VALUE"""),"Section sequence number change according to the list.
")</f>
        <v>Section sequence number change according to the list.
</v>
      </c>
      <c r="N27" s="7" t="str">
        <f>IFERROR(__xludf.DUMMYFUNCTION("""COMPUTED_VALUE"""),"")</f>
        <v/>
      </c>
      <c r="O27" s="7" t="str">
        <f>IFERROR(__xludf.DUMMYFUNCTION("""COMPUTED_VALUE"""),"Not working for section
")</f>
        <v>Not working for section
</v>
      </c>
      <c r="P27" s="7" t="str">
        <f>IFERROR(__xludf.DUMMYFUNCTION("""COMPUTED_VALUE"""),"Fail")</f>
        <v>Fail</v>
      </c>
      <c r="Q27" s="7" t="str">
        <f>IFERROR(__xludf.DUMMYFUNCTION("""COMPUTED_VALUE"""),"Sanjay
")</f>
        <v>Sanjay
</v>
      </c>
      <c r="R27" s="8">
        <f>IFERROR(__xludf.DUMMYFUNCTION("""COMPUTED_VALUE"""),43795.0)</f>
        <v>43795</v>
      </c>
      <c r="S27" s="7" t="str">
        <f>IFERROR(__xludf.DUMMYFUNCTION("""COMPUTED_VALUE"""),"")</f>
        <v/>
      </c>
      <c r="T27" s="7"/>
      <c r="U27" s="7"/>
      <c r="V27" s="7"/>
      <c r="W27" s="7"/>
      <c r="X27" s="7"/>
      <c r="Y27" s="7"/>
      <c r="Z27" s="7"/>
    </row>
    <row r="28">
      <c r="A28" s="7" t="str">
        <f>IFERROR(__xludf.DUMMYFUNCTION("""COMPUTED_VALUE"""),"TCM
_dKosh_General_SMF1_014_064")</f>
        <v>TCM
_dKosh_General_SMF1_014_064</v>
      </c>
      <c r="B28" s="7" t="str">
        <f>IFERROR(__xludf.DUMMYFUNCTION("""COMPUTED_VALUE"""),"TP_dKosh_General_SMF1_014")</f>
        <v>TP_dKosh_General_SMF1_014</v>
      </c>
      <c r="C28" s="7">
        <f>IFERROR(__xludf.DUMMYFUNCTION("""COMPUTED_VALUE"""),64.0)</f>
        <v>64</v>
      </c>
      <c r="D28" s="7" t="str">
        <f>IFERROR(__xludf.DUMMYFUNCTION("""COMPUTED_VALUE"""),"Web, Mobile")</f>
        <v>Web, Mobile</v>
      </c>
      <c r="E28" s="7" t="str">
        <f>IFERROR(__xludf.DUMMYFUNCTION("""COMPUTED_VALUE"""),"General")</f>
        <v>General</v>
      </c>
      <c r="F28" s="7" t="str">
        <f>IFERROR(__xludf.DUMMYFUNCTION("""COMPUTED_VALUE"""),"Reorder Section")</f>
        <v>Reorder Section</v>
      </c>
      <c r="G28" s="7" t="str">
        <f>IFERROR(__xludf.DUMMYFUNCTION("""COMPUTED_VALUE"""),"M
")</f>
        <v>M
</v>
      </c>
      <c r="H28" s="7" t="str">
        <f>IFERROR(__xludf.DUMMYFUNCTION("""COMPUTED_VALUE"""),"Jaikishan")</f>
        <v>Jaikishan</v>
      </c>
      <c r="I28" s="7" t="str">
        <f>IFERROR(__xludf.DUMMYFUNCTION("""COMPUTED_VALUE"""),"Functional")</f>
        <v>Functional</v>
      </c>
      <c r="J28" s="7" t="str">
        <f>IFERROR(__xludf.DUMMYFUNCTION("""COMPUTED_VALUE"""),"1. Form must be created.
2. User has permission of 'Reorder section'.")</f>
        <v>1. Form must be created.
2. User has permission of 'Reorder section'.</v>
      </c>
      <c r="K28" s="7" t="str">
        <f>IFERROR(__xludf.DUMMYFUNCTION("""COMPUTED_VALUE"""),"Verify, post action when reorder section and click on ""Ok"" button.")</f>
        <v>Verify, post action when reorder section and click on "Ok" button.</v>
      </c>
      <c r="L28" s="7" t="str">
        <f>IFERROR(__xludf.DUMMYFUNCTION("""COMPUTED_VALUE"""),"1. Go to manage form list.
2. Click on List Action.
3. Click on ""Modify Form""
4. Click on section action.
5. Click on Reorder Section
6. Drag section
7. Click on ""Ok"" button")</f>
        <v>1. Go to manage form list.
2. Click on List Action.
3. Click on "Modify Form"
4. Click on section action.
5. Click on Reorder Section
6. Drag section
7. Click on "Ok" button</v>
      </c>
      <c r="M28" s="7" t="str">
        <f>IFERROR(__xludf.DUMMYFUNCTION("""COMPUTED_VALUE"""),"Section should be arranged according in Modify form list.")</f>
        <v>Section should be arranged according in Modify form list.</v>
      </c>
      <c r="N28" s="7" t="str">
        <f>IFERROR(__xludf.DUMMYFUNCTION("""COMPUTED_VALUE"""),"")</f>
        <v/>
      </c>
      <c r="O28" s="7" t="str">
        <f>IFERROR(__xludf.DUMMYFUNCTION("""COMPUTED_VALUE"""),"Not working for section
")</f>
        <v>Not working for section
</v>
      </c>
      <c r="P28" s="7" t="str">
        <f>IFERROR(__xludf.DUMMYFUNCTION("""COMPUTED_VALUE"""),"Fail")</f>
        <v>Fail</v>
      </c>
      <c r="Q28" s="7" t="str">
        <f>IFERROR(__xludf.DUMMYFUNCTION("""COMPUTED_VALUE"""),"Sanjay")</f>
        <v>Sanjay</v>
      </c>
      <c r="R28" s="8">
        <f>IFERROR(__xludf.DUMMYFUNCTION("""COMPUTED_VALUE"""),43795.0)</f>
        <v>43795</v>
      </c>
      <c r="S28" s="7" t="str">
        <f>IFERROR(__xludf.DUMMYFUNCTION("""COMPUTED_VALUE"""),"")</f>
        <v/>
      </c>
      <c r="T28" s="7"/>
      <c r="U28" s="7"/>
      <c r="V28" s="7"/>
      <c r="W28" s="7"/>
      <c r="X28" s="7"/>
      <c r="Y28" s="7"/>
      <c r="Z28" s="7"/>
    </row>
    <row r="29">
      <c r="A29" s="7" t="str">
        <f>IFERROR(__xludf.DUMMYFUNCTION("""COMPUTED_VALUE"""),"TCM
_dKosh_General_SMF1_014_065")</f>
        <v>TCM
_dKosh_General_SMF1_014_065</v>
      </c>
      <c r="B29" s="7" t="str">
        <f>IFERROR(__xludf.DUMMYFUNCTION("""COMPUTED_VALUE"""),"TP_dKosh_General_SMF1_014")</f>
        <v>TP_dKosh_General_SMF1_014</v>
      </c>
      <c r="C29" s="7">
        <f>IFERROR(__xludf.DUMMYFUNCTION("""COMPUTED_VALUE"""),65.0)</f>
        <v>65</v>
      </c>
      <c r="D29" s="7" t="str">
        <f>IFERROR(__xludf.DUMMYFUNCTION("""COMPUTED_VALUE"""),"Web, Mobile")</f>
        <v>Web, Mobile</v>
      </c>
      <c r="E29" s="7" t="str">
        <f>IFERROR(__xludf.DUMMYFUNCTION("""COMPUTED_VALUE"""),"General")</f>
        <v>General</v>
      </c>
      <c r="F29" s="7" t="str">
        <f>IFERROR(__xludf.DUMMYFUNCTION("""COMPUTED_VALUE"""),"Reorder Section")</f>
        <v>Reorder Section</v>
      </c>
      <c r="G29" s="7" t="str">
        <f>IFERROR(__xludf.DUMMYFUNCTION("""COMPUTED_VALUE"""),"M
")</f>
        <v>M
</v>
      </c>
      <c r="H29" s="7" t="str">
        <f>IFERROR(__xludf.DUMMYFUNCTION("""COMPUTED_VALUE"""),"Jaikishan")</f>
        <v>Jaikishan</v>
      </c>
      <c r="I29" s="7" t="str">
        <f>IFERROR(__xludf.DUMMYFUNCTION("""COMPUTED_VALUE"""),"Functional")</f>
        <v>Functional</v>
      </c>
      <c r="J29" s="7" t="str">
        <f>IFERROR(__xludf.DUMMYFUNCTION("""COMPUTED_VALUE"""),"1. Form must be created.
2. User has permission of 'Reorder section'.")</f>
        <v>1. Form must be created.
2. User has permission of 'Reorder section'.</v>
      </c>
      <c r="K29" s="7" t="str">
        <f>IFERROR(__xludf.DUMMYFUNCTION("""COMPUTED_VALUE"""),"Verify, Section sequence number changed when reorder section.")</f>
        <v>Verify, Section sequence number changed when reorder section.</v>
      </c>
      <c r="L29" s="7" t="str">
        <f>IFERROR(__xludf.DUMMYFUNCTION("""COMPUTED_VALUE"""),"1. Go to manage form list.
2. Click on List Action.
3. Click on ""Modify Form""
4. Click on section action.
5. Click on Reorder Section
6. Drag section
7. Click on ""Ok"" button
8. Open any section
9. Check sequence number.")</f>
        <v>1. Go to manage form list.
2. Click on List Action.
3. Click on "Modify Form"
4. Click on section action.
5. Click on Reorder Section
6. Drag section
7. Click on "Ok" button
8. Open any section
9. Check sequence number.</v>
      </c>
      <c r="M29" s="7" t="str">
        <f>IFERROR(__xludf.DUMMYFUNCTION("""COMPUTED_VALUE"""),"Sequence number should be changed section form.")</f>
        <v>Sequence number should be changed section form.</v>
      </c>
      <c r="N29" s="7" t="str">
        <f>IFERROR(__xludf.DUMMYFUNCTION("""COMPUTED_VALUE"""),"")</f>
        <v/>
      </c>
      <c r="O29" s="7" t="str">
        <f>IFERROR(__xludf.DUMMYFUNCTION("""COMPUTED_VALUE"""),"Not working for section
")</f>
        <v>Not working for section
</v>
      </c>
      <c r="P29" s="7" t="str">
        <f>IFERROR(__xludf.DUMMYFUNCTION("""COMPUTED_VALUE"""),"Fail")</f>
        <v>Fail</v>
      </c>
      <c r="Q29" s="7" t="str">
        <f>IFERROR(__xludf.DUMMYFUNCTION("""COMPUTED_VALUE"""),"Sanjay")</f>
        <v>Sanjay</v>
      </c>
      <c r="R29" s="8">
        <f>IFERROR(__xludf.DUMMYFUNCTION("""COMPUTED_VALUE"""),43795.0)</f>
        <v>43795</v>
      </c>
      <c r="S29" s="7" t="str">
        <f>IFERROR(__xludf.DUMMYFUNCTION("""COMPUTED_VALUE"""),"")</f>
        <v/>
      </c>
      <c r="T29" s="7"/>
      <c r="U29" s="7"/>
      <c r="V29" s="7"/>
      <c r="W29" s="7"/>
      <c r="X29" s="7"/>
      <c r="Y29" s="7"/>
      <c r="Z29" s="7"/>
    </row>
    <row r="30">
      <c r="A30" s="7" t="str">
        <f>IFERROR(__xludf.DUMMYFUNCTION("""COMPUTED_VALUE"""),"TCM
_dKosh_General_SMF1_013_068")</f>
        <v>TCM
_dKosh_General_SMF1_013_068</v>
      </c>
      <c r="B30" s="7" t="str">
        <f>IFERROR(__xludf.DUMMYFUNCTION("""COMPUTED_VALUE"""),"TP_dKosh_General_SMF1_013")</f>
        <v>TP_dKosh_General_SMF1_013</v>
      </c>
      <c r="C30" s="7">
        <f>IFERROR(__xludf.DUMMYFUNCTION("""COMPUTED_VALUE"""),68.0)</f>
        <v>68</v>
      </c>
      <c r="D30" s="7" t="str">
        <f>IFERROR(__xludf.DUMMYFUNCTION("""COMPUTED_VALUE"""),"Web, Mobile")</f>
        <v>Web, Mobile</v>
      </c>
      <c r="E30" s="7" t="str">
        <f>IFERROR(__xludf.DUMMYFUNCTION("""COMPUTED_VALUE"""),"General")</f>
        <v>General</v>
      </c>
      <c r="F30" s="7" t="str">
        <f>IFERROR(__xludf.DUMMYFUNCTION("""COMPUTED_VALUE"""),"Split Section")</f>
        <v>Split Section</v>
      </c>
      <c r="G30" s="7" t="str">
        <f>IFERROR(__xludf.DUMMYFUNCTION("""COMPUTED_VALUE"""),"M
")</f>
        <v>M
</v>
      </c>
      <c r="H30" s="7" t="str">
        <f>IFERROR(__xludf.DUMMYFUNCTION("""COMPUTED_VALUE"""),"Jaikishan")</f>
        <v>Jaikishan</v>
      </c>
      <c r="I30" s="7" t="str">
        <f>IFERROR(__xludf.DUMMYFUNCTION("""COMPUTED_VALUE"""),"UI")</f>
        <v>UI</v>
      </c>
      <c r="J30" s="7" t="str">
        <f>IFERROR(__xludf.DUMMYFUNCTION("""COMPUTED_VALUE"""),"1. Form must be created.
2. User has permission of 'Split section'.")</f>
        <v>1. Form must be created.
2. User has permission of 'Split section'.</v>
      </c>
      <c r="K30" s="7" t="str">
        <f>IFERROR(__xludf.DUMMYFUNCTION("""COMPUTED_VALUE"""),"Verify, all labels,Checkbox,Radio button in Split section pop-up")</f>
        <v>Verify, all labels,Checkbox,Radio button in Split section pop-up</v>
      </c>
      <c r="L30" s="7" t="str">
        <f>IFERROR(__xludf.DUMMYFUNCTION("""COMPUTED_VALUE"""),"1. Go to manage form list.
2. Click on List Action.
3. Click on ""Modify Form""
4. Click on section action.
5. Click on Split Section")</f>
        <v>1. Go to manage form list.
2. Click on List Action.
3. Click on "Modify Form"
4. Click on section action.
5. Click on Split Section</v>
      </c>
      <c r="M30" s="7" t="str">
        <f>IFERROR(__xludf.DUMMYFUNCTION("""COMPUTED_VALUE"""),"Heading : Select Questions to move
Side heading : Total Questions (selected questions count)
Checkbox : Select all &amp; All Quesion checkbox
Move &lt;selected question count&gt; questions to:
Radio button : New Section, Existing Section
")</f>
        <v>Heading : Select Questions to move
Side heading : Total Questions (selected questions count)
Checkbox : Select all &amp; All Quesion checkbox
Move &lt;selected question count&gt; questions to:
Radio button : New Section, Existing Section
</v>
      </c>
      <c r="N30" s="7" t="str">
        <f>IFERROR(__xludf.DUMMYFUNCTION("""COMPUTED_VALUE"""),"")</f>
        <v/>
      </c>
      <c r="O30" s="7" t="str">
        <f>IFERROR(__xludf.DUMMYFUNCTION("""COMPUTED_VALUE"""),"There is no select all field for check box")</f>
        <v>There is no select all field for check box</v>
      </c>
      <c r="P30" s="7" t="str">
        <f>IFERROR(__xludf.DUMMYFUNCTION("""COMPUTED_VALUE"""),"Fail")</f>
        <v>Fail</v>
      </c>
      <c r="Q30" s="7" t="str">
        <f>IFERROR(__xludf.DUMMYFUNCTION("""COMPUTED_VALUE"""),"Sanjay")</f>
        <v>Sanjay</v>
      </c>
      <c r="R30" s="8">
        <f>IFERROR(__xludf.DUMMYFUNCTION("""COMPUTED_VALUE"""),43795.0)</f>
        <v>43795</v>
      </c>
      <c r="S30" s="7" t="str">
        <f>IFERROR(__xludf.DUMMYFUNCTION("""COMPUTED_VALUE"""),"")</f>
        <v/>
      </c>
      <c r="T30" s="7"/>
      <c r="U30" s="7"/>
      <c r="V30" s="7"/>
      <c r="W30" s="7"/>
      <c r="X30" s="7"/>
      <c r="Y30" s="7"/>
      <c r="Z30" s="7"/>
    </row>
    <row r="31">
      <c r="A31" s="7" t="str">
        <f>IFERROR(__xludf.DUMMYFUNCTION("""COMPUTED_VALUE"""),"TCM
_dKosh_General_SMF1_013_071")</f>
        <v>TCM
_dKosh_General_SMF1_013_071</v>
      </c>
      <c r="B31" s="7" t="str">
        <f>IFERROR(__xludf.DUMMYFUNCTION("""COMPUTED_VALUE"""),"TP_dKosh_General_SMF1_013")</f>
        <v>TP_dKosh_General_SMF1_013</v>
      </c>
      <c r="C31" s="7">
        <f>IFERROR(__xludf.DUMMYFUNCTION("""COMPUTED_VALUE"""),71.0)</f>
        <v>71</v>
      </c>
      <c r="D31" s="7" t="str">
        <f>IFERROR(__xludf.DUMMYFUNCTION("""COMPUTED_VALUE"""),"Web, Mobile")</f>
        <v>Web, Mobile</v>
      </c>
      <c r="E31" s="7" t="str">
        <f>IFERROR(__xludf.DUMMYFUNCTION("""COMPUTED_VALUE"""),"General")</f>
        <v>General</v>
      </c>
      <c r="F31" s="7" t="str">
        <f>IFERROR(__xludf.DUMMYFUNCTION("""COMPUTED_VALUE"""),"Split Section")</f>
        <v>Split Section</v>
      </c>
      <c r="G31" s="7" t="str">
        <f>IFERROR(__xludf.DUMMYFUNCTION("""COMPUTED_VALUE"""),"M
")</f>
        <v>M
</v>
      </c>
      <c r="H31" s="7" t="str">
        <f>IFERROR(__xludf.DUMMYFUNCTION("""COMPUTED_VALUE"""),"Jaikishan")</f>
        <v>Jaikishan</v>
      </c>
      <c r="I31" s="7" t="str">
        <f>IFERROR(__xludf.DUMMYFUNCTION("""COMPUTED_VALUE"""),"Validation")</f>
        <v>Validation</v>
      </c>
      <c r="J31" s="7" t="str">
        <f>IFERROR(__xludf.DUMMYFUNCTION("""COMPUTED_VALUE"""),"1. Form must be created.
2. User has permission of 'Split section'.")</f>
        <v>1. Form must be created.
2. User has permission of 'Split section'.</v>
      </c>
      <c r="K31" s="7" t="str">
        <f>IFERROR(__xludf.DUMMYFUNCTION("""COMPUTED_VALUE"""),"Verify, all questions in the section displayed on list.")</f>
        <v>Verify, all questions in the section displayed on list.</v>
      </c>
      <c r="L31" s="7" t="str">
        <f>IFERROR(__xludf.DUMMYFUNCTION("""COMPUTED_VALUE"""),"1. Go to manage form list.
2. Click on List Action.
3. Click on ""Modify Form""
4. Click on section action.
5. Click on Split Section.")</f>
        <v>1. Go to manage form list.
2. Click on List Action.
3. Click on "Modify Form"
4. Click on section action.
5. Click on Split Section.</v>
      </c>
      <c r="M31" s="7" t="str">
        <f>IFERROR(__xludf.DUMMYFUNCTION("""COMPUTED_VALUE"""),"1. All Question showing in the list.
2. Questions shortname is displaying")</f>
        <v>1. All Question showing in the list.
2. Questions shortname is displaying</v>
      </c>
      <c r="N31" s="7" t="str">
        <f>IFERROR(__xludf.DUMMYFUNCTION("""COMPUTED_VALUE"""),"")</f>
        <v/>
      </c>
      <c r="O31" s="7" t="str">
        <f>IFERROR(__xludf.DUMMYFUNCTION("""COMPUTED_VALUE"""),"Question name is showing instead of short name")</f>
        <v>Question name is showing instead of short name</v>
      </c>
      <c r="P31" s="7" t="str">
        <f>IFERROR(__xludf.DUMMYFUNCTION("""COMPUTED_VALUE"""),"Fail")</f>
        <v>Fail</v>
      </c>
      <c r="Q31" s="7" t="str">
        <f>IFERROR(__xludf.DUMMYFUNCTION("""COMPUTED_VALUE"""),"Sanjay")</f>
        <v>Sanjay</v>
      </c>
      <c r="R31" s="8">
        <f>IFERROR(__xludf.DUMMYFUNCTION("""COMPUTED_VALUE"""),43795.0)</f>
        <v>43795</v>
      </c>
      <c r="S31" s="7" t="str">
        <f>IFERROR(__xludf.DUMMYFUNCTION("""COMPUTED_VALUE"""),"")</f>
        <v/>
      </c>
      <c r="T31" s="7"/>
      <c r="U31" s="7"/>
      <c r="V31" s="7"/>
      <c r="W31" s="7"/>
      <c r="X31" s="7"/>
      <c r="Y31" s="7"/>
      <c r="Z31" s="7"/>
    </row>
    <row r="32">
      <c r="A32" s="7" t="str">
        <f>IFERROR(__xludf.DUMMYFUNCTION("""COMPUTED_VALUE"""),"TCM
_dKosh_General_SMF1_013_073")</f>
        <v>TCM
_dKosh_General_SMF1_013_073</v>
      </c>
      <c r="B32" s="7" t="str">
        <f>IFERROR(__xludf.DUMMYFUNCTION("""COMPUTED_VALUE"""),"TP_dKosh_General_SMF1_013")</f>
        <v>TP_dKosh_General_SMF1_013</v>
      </c>
      <c r="C32" s="7">
        <f>IFERROR(__xludf.DUMMYFUNCTION("""COMPUTED_VALUE"""),73.0)</f>
        <v>73</v>
      </c>
      <c r="D32" s="7" t="str">
        <f>IFERROR(__xludf.DUMMYFUNCTION("""COMPUTED_VALUE"""),"Web, Mobile")</f>
        <v>Web, Mobile</v>
      </c>
      <c r="E32" s="7" t="str">
        <f>IFERROR(__xludf.DUMMYFUNCTION("""COMPUTED_VALUE"""),"General")</f>
        <v>General</v>
      </c>
      <c r="F32" s="7" t="str">
        <f>IFERROR(__xludf.DUMMYFUNCTION("""COMPUTED_VALUE"""),"Split Section")</f>
        <v>Split Section</v>
      </c>
      <c r="G32" s="7" t="str">
        <f>IFERROR(__xludf.DUMMYFUNCTION("""COMPUTED_VALUE"""),"M
")</f>
        <v>M
</v>
      </c>
      <c r="H32" s="7" t="str">
        <f>IFERROR(__xludf.DUMMYFUNCTION("""COMPUTED_VALUE"""),"Jaikishan")</f>
        <v>Jaikishan</v>
      </c>
      <c r="I32" s="7" t="str">
        <f>IFERROR(__xludf.DUMMYFUNCTION("""COMPUTED_VALUE"""),"Functional")</f>
        <v>Functional</v>
      </c>
      <c r="J32" s="7" t="str">
        <f>IFERROR(__xludf.DUMMYFUNCTION("""COMPUTED_VALUE"""),"1. Form must be created.
2. User has permission of 'Split section'.")</f>
        <v>1. Form must be created.
2. User has permission of 'Split section'.</v>
      </c>
      <c r="K32" s="7" t="str">
        <f>IFERROR(__xludf.DUMMYFUNCTION("""COMPUTED_VALUE"""),"Verify, ""Ok"" button when no checkbox selected &amp; radio button selected.")</f>
        <v>Verify, "Ok" button when no checkbox selected &amp; radio button selected.</v>
      </c>
      <c r="L32" s="7" t="str">
        <f>IFERROR(__xludf.DUMMYFUNCTION("""COMPUTED_VALUE"""),"1. Go to manage form list.
2. Click on List Action.
3. Click on ""Modify Form""
4. Click on section action.
5. Click on Split Section
6. Select any radio button
7. Click on ""Ok"" button.")</f>
        <v>1. Go to manage form list.
2. Click on List Action.
3. Click on "Modify Form"
4. Click on section action.
5. Click on Split Section
6. Select any radio button
7. Click on "Ok" button.</v>
      </c>
      <c r="M32" s="7" t="str">
        <f>IFERROR(__xludf.DUMMYFUNCTION("""COMPUTED_VALUE"""),"""Please select alleast 1 question "" message should be show")</f>
        <v>"Please select alleast 1 question " message should be show</v>
      </c>
      <c r="N32" s="7" t="str">
        <f>IFERROR(__xludf.DUMMYFUNCTION("""COMPUTED_VALUE"""),"")</f>
        <v/>
      </c>
      <c r="O32" s="7" t="str">
        <f>IFERROR(__xludf.DUMMYFUNCTION("""COMPUTED_VALUE"""),"""Questions cannot be blank."" is showing instead of ''Please select alleast 1 question'")</f>
        <v>"Questions cannot be blank." is showing instead of ''Please select alleast 1 question'</v>
      </c>
      <c r="P32" s="7" t="str">
        <f>IFERROR(__xludf.DUMMYFUNCTION("""COMPUTED_VALUE"""),"Fail")</f>
        <v>Fail</v>
      </c>
      <c r="Q32" s="7" t="str">
        <f>IFERROR(__xludf.DUMMYFUNCTION("""COMPUTED_VALUE"""),"Sanjay")</f>
        <v>Sanjay</v>
      </c>
      <c r="R32" s="8">
        <f>IFERROR(__xludf.DUMMYFUNCTION("""COMPUTED_VALUE"""),43795.0)</f>
        <v>43795</v>
      </c>
      <c r="S32" s="7" t="str">
        <f>IFERROR(__xludf.DUMMYFUNCTION("""COMPUTED_VALUE"""),"")</f>
        <v/>
      </c>
      <c r="T32" s="7"/>
      <c r="U32" s="7"/>
      <c r="V32" s="7"/>
      <c r="W32" s="7"/>
      <c r="X32" s="7"/>
      <c r="Y32" s="7"/>
      <c r="Z32" s="7"/>
    </row>
    <row r="33">
      <c r="A33" s="7" t="str">
        <f>IFERROR(__xludf.DUMMYFUNCTION("""COMPUTED_VALUE"""),"TCM
_dKosh_General_SMF1_013_078")</f>
        <v>TCM
_dKosh_General_SMF1_013_078</v>
      </c>
      <c r="B33" s="7" t="str">
        <f>IFERROR(__xludf.DUMMYFUNCTION("""COMPUTED_VALUE"""),"TP_dKosh_General_SMF1_013")</f>
        <v>TP_dKosh_General_SMF1_013</v>
      </c>
      <c r="C33" s="7">
        <f>IFERROR(__xludf.DUMMYFUNCTION("""COMPUTED_VALUE"""),78.0)</f>
        <v>78</v>
      </c>
      <c r="D33" s="7" t="str">
        <f>IFERROR(__xludf.DUMMYFUNCTION("""COMPUTED_VALUE"""),"Web, Mobile")</f>
        <v>Web, Mobile</v>
      </c>
      <c r="E33" s="7" t="str">
        <f>IFERROR(__xludf.DUMMYFUNCTION("""COMPUTED_VALUE"""),"General")</f>
        <v>General</v>
      </c>
      <c r="F33" s="7" t="str">
        <f>IFERROR(__xludf.DUMMYFUNCTION("""COMPUTED_VALUE"""),"Split Section")</f>
        <v>Split Section</v>
      </c>
      <c r="G33" s="7" t="str">
        <f>IFERROR(__xludf.DUMMYFUNCTION("""COMPUTED_VALUE"""),"M
")</f>
        <v>M
</v>
      </c>
      <c r="H33" s="7" t="str">
        <f>IFERROR(__xludf.DUMMYFUNCTION("""COMPUTED_VALUE"""),"Jaikishan")</f>
        <v>Jaikishan</v>
      </c>
      <c r="I33" s="7" t="str">
        <f>IFERROR(__xludf.DUMMYFUNCTION("""COMPUTED_VALUE"""),"Validation")</f>
        <v>Validation</v>
      </c>
      <c r="J33" s="7" t="str">
        <f>IFERROR(__xludf.DUMMYFUNCTION("""COMPUTED_VALUE"""),"1. Form must be created.
2. User has permission of 'Split section'.")</f>
        <v>1. Form must be created.
2. User has permission of 'Split section'.</v>
      </c>
      <c r="K33" s="7" t="str">
        <f>IFERROR(__xludf.DUMMYFUNCTION("""COMPUTED_VALUE"""),"Verify, On ""Ok"" message when select question and select new section/Existing section.")</f>
        <v>Verify, On "Ok" message when select question and select new section/Existing section.</v>
      </c>
      <c r="L33" s="7" t="str">
        <f>IFERROR(__xludf.DUMMYFUNCTION("""COMPUTED_VALUE"""),"1. Go to manage form list.
2. Click on List Action.
3. Click on ""Modify Form""
4. Click on section action.
5. Click on Split Section
6. Select questions
6. Select new section radio button
7. Click on ""Ok"" button.")</f>
        <v>1. Go to manage form list.
2. Click on List Action.
3. Click on "Modify Form"
4. Click on section action.
5. Click on Split Section
6. Select questions
6. Select new section radio button
7. Click on "Ok" button.</v>
      </c>
      <c r="M33" s="7" t="str">
        <f>IFERROR(__xludf.DUMMYFUNCTION("""COMPUTED_VALUE"""),"Message ""Saved Successfully"" should be show.")</f>
        <v>Message "Saved Successfully" should be show.</v>
      </c>
      <c r="N33" s="7" t="str">
        <f>IFERROR(__xludf.DUMMYFUNCTION("""COMPUTED_VALUE"""),"")</f>
        <v/>
      </c>
      <c r="O33" s="7" t="str">
        <f>IFERROR(__xludf.DUMMYFUNCTION("""COMPUTED_VALUE"""),"""Section Create has been Created Successfully"" is showing instead of ""Saved Successfully""")</f>
        <v>"Section Create has been Created Successfully" is showing instead of "Saved Successfully"</v>
      </c>
      <c r="P33" s="7" t="str">
        <f>IFERROR(__xludf.DUMMYFUNCTION("""COMPUTED_VALUE"""),"Fail")</f>
        <v>Fail</v>
      </c>
      <c r="Q33" s="7" t="str">
        <f>IFERROR(__xludf.DUMMYFUNCTION("""COMPUTED_VALUE"""),"Sanjay
")</f>
        <v>Sanjay
</v>
      </c>
      <c r="R33" s="8">
        <f>IFERROR(__xludf.DUMMYFUNCTION("""COMPUTED_VALUE"""),43795.0)</f>
        <v>43795</v>
      </c>
      <c r="S33" s="7" t="str">
        <f>IFERROR(__xludf.DUMMYFUNCTION("""COMPUTED_VALUE"""),"")</f>
        <v/>
      </c>
      <c r="T33" s="7"/>
      <c r="U33" s="7"/>
      <c r="V33" s="7"/>
      <c r="W33" s="7"/>
      <c r="X33" s="7"/>
      <c r="Y33" s="7"/>
      <c r="Z33" s="7"/>
    </row>
    <row r="34">
      <c r="A34" s="7" t="str">
        <f>IFERROR(__xludf.DUMMYFUNCTION("""COMPUTED_VALUE"""),"TCM_dKosh_General_SMF1_016_079")</f>
        <v>TCM_dKosh_General_SMF1_016_079</v>
      </c>
      <c r="B34" s="7" t="str">
        <f>IFERROR(__xludf.DUMMYFUNCTION("""COMPUTED_VALUE"""),"TP_dKosh_General_SMF1_016")</f>
        <v>TP_dKosh_General_SMF1_016</v>
      </c>
      <c r="C34" s="7">
        <f>IFERROR(__xludf.DUMMYFUNCTION("""COMPUTED_VALUE"""),79.0)</f>
        <v>79</v>
      </c>
      <c r="D34" s="7" t="str">
        <f>IFERROR(__xludf.DUMMYFUNCTION("""COMPUTED_VALUE"""),"Web, Mobile")</f>
        <v>Web, Mobile</v>
      </c>
      <c r="E34" s="7" t="str">
        <f>IFERROR(__xludf.DUMMYFUNCTION("""COMPUTED_VALUE"""),"Section Rely on")</f>
        <v>Section Rely on</v>
      </c>
      <c r="F34" s="7" t="str">
        <f>IFERROR(__xludf.DUMMYFUNCTION("""COMPUTED_VALUE"""),"Create")</f>
        <v>Create</v>
      </c>
      <c r="G34" s="7" t="str">
        <f>IFERROR(__xludf.DUMMYFUNCTION("""COMPUTED_VALUE"""),"M")</f>
        <v>M</v>
      </c>
      <c r="H34" s="7" t="str">
        <f>IFERROR(__xludf.DUMMYFUNCTION("""COMPUTED_VALUE"""),"Jaikishan")</f>
        <v>Jaikishan</v>
      </c>
      <c r="I34" s="7" t="str">
        <f>IFERROR(__xludf.DUMMYFUNCTION("""COMPUTED_VALUE"""),"UI")</f>
        <v>UI</v>
      </c>
      <c r="J34" s="7" t="str">
        <f>IFERROR(__xludf.DUMMYFUNCTION("""COMPUTED_VALUE"""),"1. Form must be created.
2. User has permission of 'Modify Form'")</f>
        <v>1. Form must be created.
2. User has permission of 'Modify Form'</v>
      </c>
      <c r="K34" s="7" t="str">
        <f>IFERROR(__xludf.DUMMYFUNCTION("""COMPUTED_VALUE"""),"Verify Caption, Place holder of Section Rely on link.")</f>
        <v>Verify Caption, Place holder of Section Rely on link.</v>
      </c>
      <c r="L34" s="7" t="str">
        <f>IFERROR(__xludf.DUMMYFUNCTION("""COMPUTED_VALUE"""),"1. Go to Manage form list.
2. Click on Modify form in Action.
3. Click on section list in action.
4. Verify the field.
")</f>
        <v>1. Go to Manage form list.
2. Click on Modify form in Action.
3. Click on section list in action.
4. Verify the field.
</v>
      </c>
      <c r="M34" s="7" t="str">
        <f>IFERROR(__xludf.DUMMYFUNCTION("""COMPUTED_VALUE"""),"Caption: Section Rely on
Control type: Link")</f>
        <v>Caption: Section Rely on
Control type: Link</v>
      </c>
      <c r="N34" s="7" t="str">
        <f>IFERROR(__xludf.DUMMYFUNCTION("""COMPUTED_VALUE"""),"")</f>
        <v/>
      </c>
      <c r="O34" s="7" t="str">
        <f>IFERROR(__xludf.DUMMYFUNCTION("""COMPUTED_VALUE"""),"
Caption:Rely Section")</f>
        <v>
Caption:Rely Section</v>
      </c>
      <c r="P34" s="7" t="str">
        <f>IFERROR(__xludf.DUMMYFUNCTION("""COMPUTED_VALUE"""),"Fail")</f>
        <v>Fail</v>
      </c>
      <c r="Q34" s="7" t="str">
        <f>IFERROR(__xludf.DUMMYFUNCTION("""COMPUTED_VALUE"""),"Sanjay
")</f>
        <v>Sanjay
</v>
      </c>
      <c r="R34" s="8">
        <f>IFERROR(__xludf.DUMMYFUNCTION("""COMPUTED_VALUE"""),43795.0)</f>
        <v>43795</v>
      </c>
      <c r="S34" s="7" t="str">
        <f>IFERROR(__xludf.DUMMYFUNCTION("""COMPUTED_VALUE"""),"")</f>
        <v/>
      </c>
      <c r="T34" s="7"/>
      <c r="U34" s="7"/>
      <c r="V34" s="7"/>
      <c r="W34" s="7"/>
      <c r="X34" s="7"/>
      <c r="Y34" s="7"/>
      <c r="Z34" s="7"/>
    </row>
    <row r="35">
      <c r="A35" s="7" t="str">
        <f>IFERROR(__xludf.DUMMYFUNCTION("""COMPUTED_VALUE"""),"TCM_dKosh_General_SMF1_016_082")</f>
        <v>TCM_dKosh_General_SMF1_016_082</v>
      </c>
      <c r="B35" s="7" t="str">
        <f>IFERROR(__xludf.DUMMYFUNCTION("""COMPUTED_VALUE"""),"TP_dKosh_General_SMF1_016")</f>
        <v>TP_dKosh_General_SMF1_016</v>
      </c>
      <c r="C35" s="7">
        <f>IFERROR(__xludf.DUMMYFUNCTION("""COMPUTED_VALUE"""),82.0)</f>
        <v>82</v>
      </c>
      <c r="D35" s="7" t="str">
        <f>IFERROR(__xludf.DUMMYFUNCTION("""COMPUTED_VALUE"""),"Web, Mobile")</f>
        <v>Web, Mobile</v>
      </c>
      <c r="E35" s="7" t="str">
        <f>IFERROR(__xludf.DUMMYFUNCTION("""COMPUTED_VALUE"""),"Section Rely on")</f>
        <v>Section Rely on</v>
      </c>
      <c r="F35" s="7" t="str">
        <f>IFERROR(__xludf.DUMMYFUNCTION("""COMPUTED_VALUE"""),"Create")</f>
        <v>Create</v>
      </c>
      <c r="G35" s="7" t="str">
        <f>IFERROR(__xludf.DUMMYFUNCTION("""COMPUTED_VALUE"""),"M")</f>
        <v>M</v>
      </c>
      <c r="H35" s="7" t="str">
        <f>IFERROR(__xludf.DUMMYFUNCTION("""COMPUTED_VALUE"""),"Jaikishan")</f>
        <v>Jaikishan</v>
      </c>
      <c r="I35" s="7" t="str">
        <f>IFERROR(__xludf.DUMMYFUNCTION("""COMPUTED_VALUE"""),"UI")</f>
        <v>UI</v>
      </c>
      <c r="J35" s="7" t="str">
        <f>IFERROR(__xludf.DUMMYFUNCTION("""COMPUTED_VALUE"""),"")</f>
        <v/>
      </c>
      <c r="K35" s="7" t="str">
        <f>IFERROR(__xludf.DUMMYFUNCTION("""COMPUTED_VALUE"""),"Verify the Title of the Rely on pop up form.")</f>
        <v>Verify the Title of the Rely on pop up form.</v>
      </c>
      <c r="L35" s="7" t="str">
        <f>IFERROR(__xludf.DUMMYFUNCTION("""COMPUTED_VALUE"""),"1. Go to manage form list.
2. Click on Modify form in Action.
3. Click on section list in action.
4. Click on link.
5. Verify the data in the form.")</f>
        <v>1. Go to manage form list.
2. Click on Modify form in Action.
3. Click on section list in action.
4. Click on link.
5. Verify the data in the form.</v>
      </c>
      <c r="M35" s="7" t="str">
        <f>IFERROR(__xludf.DUMMYFUNCTION("""COMPUTED_VALUE"""),"Title should be displayed as Section Rely on.")</f>
        <v>Title should be displayed as Section Rely on.</v>
      </c>
      <c r="N35" s="7" t="str">
        <f>IFERROR(__xludf.DUMMYFUNCTION("""COMPUTED_VALUE"""),"")</f>
        <v/>
      </c>
      <c r="O35" s="7" t="str">
        <f>IFERROR(__xludf.DUMMYFUNCTION("""COMPUTED_VALUE"""),"r is small in Rely")</f>
        <v>r is small in Rely</v>
      </c>
      <c r="P35" s="7" t="str">
        <f>IFERROR(__xludf.DUMMYFUNCTION("""COMPUTED_VALUE"""),"Fail")</f>
        <v>Fail</v>
      </c>
      <c r="Q35" s="7" t="str">
        <f>IFERROR(__xludf.DUMMYFUNCTION("""COMPUTED_VALUE"""),"Sanjay
")</f>
        <v>Sanjay
</v>
      </c>
      <c r="R35" s="8">
        <f>IFERROR(__xludf.DUMMYFUNCTION("""COMPUTED_VALUE"""),43795.0)</f>
        <v>43795</v>
      </c>
      <c r="S35" s="7" t="str">
        <f>IFERROR(__xludf.DUMMYFUNCTION("""COMPUTED_VALUE"""),"")</f>
        <v/>
      </c>
      <c r="T35" s="7"/>
      <c r="U35" s="7"/>
      <c r="V35" s="7"/>
      <c r="W35" s="7"/>
      <c r="X35" s="7"/>
      <c r="Y35" s="7"/>
      <c r="Z35" s="7"/>
    </row>
    <row r="36">
      <c r="A36" s="7" t="str">
        <f>IFERROR(__xludf.DUMMYFUNCTION("""COMPUTED_VALUE"""),"TCM_dKosh_General_SMF1_016_085")</f>
        <v>TCM_dKosh_General_SMF1_016_085</v>
      </c>
      <c r="B36" s="7" t="str">
        <f>IFERROR(__xludf.DUMMYFUNCTION("""COMPUTED_VALUE"""),"TP_dKosh_General_SMF1_016")</f>
        <v>TP_dKosh_General_SMF1_016</v>
      </c>
      <c r="C36" s="7">
        <f>IFERROR(__xludf.DUMMYFUNCTION("""COMPUTED_VALUE"""),85.0)</f>
        <v>85</v>
      </c>
      <c r="D36" s="7" t="str">
        <f>IFERROR(__xludf.DUMMYFUNCTION("""COMPUTED_VALUE"""),"Web, Mobile")</f>
        <v>Web, Mobile</v>
      </c>
      <c r="E36" s="7" t="str">
        <f>IFERROR(__xludf.DUMMYFUNCTION("""COMPUTED_VALUE"""),"Section Rely on")</f>
        <v>Section Rely on</v>
      </c>
      <c r="F36" s="7" t="str">
        <f>IFERROR(__xludf.DUMMYFUNCTION("""COMPUTED_VALUE"""),"Create")</f>
        <v>Create</v>
      </c>
      <c r="G36" s="7" t="str">
        <f>IFERROR(__xludf.DUMMYFUNCTION("""COMPUTED_VALUE"""),"M")</f>
        <v>M</v>
      </c>
      <c r="H36" s="7" t="str">
        <f>IFERROR(__xludf.DUMMYFUNCTION("""COMPUTED_VALUE"""),"Jaikishan")</f>
        <v>Jaikishan</v>
      </c>
      <c r="I36" s="7" t="str">
        <f>IFERROR(__xludf.DUMMYFUNCTION("""COMPUTED_VALUE"""),"UI")</f>
        <v>UI</v>
      </c>
      <c r="J36" s="7" t="str">
        <f>IFERROR(__xludf.DUMMYFUNCTION("""COMPUTED_VALUE"""),"i")</f>
        <v>i</v>
      </c>
      <c r="K36" s="7" t="str">
        <f>IFERROR(__xludf.DUMMYFUNCTION("""COMPUTED_VALUE"""),"Verify the Caption and fields of the Depends on Section table.")</f>
        <v>Verify the Caption and fields of the Depends on Section table.</v>
      </c>
      <c r="L36" s="7" t="str">
        <f>IFERROR(__xludf.DUMMYFUNCTION("""COMPUTED_VALUE"""),"1. Go to manage form list.
2. Click on Modify form in Action.
3. Click on section list in action..
4. Click on Section Rely on.
5. Verify the caption.")</f>
        <v>1. Go to manage form list.
2. Click on Modify form in Action.
3. Click on section list in action..
4. Click on Section Rely on.
5. Verify the caption.</v>
      </c>
      <c r="M36" s="7" t="str">
        <f>IFERROR(__xludf.DUMMYFUNCTION("""COMPUTED_VALUE"""),"There should be shown with default two rows three columns in table.
Row 1 - Caption: Section, Question, Response and + button
Row 2 - Section Dropdown, Question Dropdown, Response multiselect field, Delete icon")</f>
        <v>There should be shown with default two rows three columns in table.
Row 1 - Caption: Section, Question, Response and + button
Row 2 - Section Dropdown, Question Dropdown, Response multiselect field, Delete icon</v>
      </c>
      <c r="N36" s="7" t="str">
        <f>IFERROR(__xludf.DUMMYFUNCTION("""COMPUTED_VALUE"""),"")</f>
        <v/>
      </c>
      <c r="O36" s="7" t="str">
        <f>IFERROR(__xludf.DUMMYFUNCTION("""COMPUTED_VALUE"""),"Deafult row not showing.")</f>
        <v>Deafult row not showing.</v>
      </c>
      <c r="P36" s="7" t="str">
        <f>IFERROR(__xludf.DUMMYFUNCTION("""COMPUTED_VALUE"""),"Fail")</f>
        <v>Fail</v>
      </c>
      <c r="Q36" s="7" t="str">
        <f>IFERROR(__xludf.DUMMYFUNCTION("""COMPUTED_VALUE"""),"Sanjay
")</f>
        <v>Sanjay
</v>
      </c>
      <c r="R36" s="8">
        <f>IFERROR(__xludf.DUMMYFUNCTION("""COMPUTED_VALUE"""),43795.0)</f>
        <v>43795</v>
      </c>
      <c r="S36" s="7" t="str">
        <f>IFERROR(__xludf.DUMMYFUNCTION("""COMPUTED_VALUE"""),"")</f>
        <v/>
      </c>
      <c r="T36" s="7"/>
      <c r="U36" s="7"/>
      <c r="V36" s="7"/>
      <c r="W36" s="7"/>
      <c r="X36" s="7"/>
      <c r="Y36" s="7"/>
      <c r="Z36" s="7"/>
    </row>
    <row r="37">
      <c r="A37" s="7" t="str">
        <f>IFERROR(__xludf.DUMMYFUNCTION("""COMPUTED_VALUE"""),"TCM_dKosh_General_SMF1_016_088")</f>
        <v>TCM_dKosh_General_SMF1_016_088</v>
      </c>
      <c r="B37" s="7" t="str">
        <f>IFERROR(__xludf.DUMMYFUNCTION("""COMPUTED_VALUE"""),"TP_dKosh_General_SMF1_016")</f>
        <v>TP_dKosh_General_SMF1_016</v>
      </c>
      <c r="C37" s="7">
        <f>IFERROR(__xludf.DUMMYFUNCTION("""COMPUTED_VALUE"""),88.0)</f>
        <v>88</v>
      </c>
      <c r="D37" s="7" t="str">
        <f>IFERROR(__xludf.DUMMYFUNCTION("""COMPUTED_VALUE"""),"Web, Mobile")</f>
        <v>Web, Mobile</v>
      </c>
      <c r="E37" s="7" t="str">
        <f>IFERROR(__xludf.DUMMYFUNCTION("""COMPUTED_VALUE"""),"Section Rely on")</f>
        <v>Section Rely on</v>
      </c>
      <c r="F37" s="7" t="str">
        <f>IFERROR(__xludf.DUMMYFUNCTION("""COMPUTED_VALUE"""),"Create")</f>
        <v>Create</v>
      </c>
      <c r="G37" s="7" t="str">
        <f>IFERROR(__xludf.DUMMYFUNCTION("""COMPUTED_VALUE"""),"M")</f>
        <v>M</v>
      </c>
      <c r="H37" s="7" t="str">
        <f>IFERROR(__xludf.DUMMYFUNCTION("""COMPUTED_VALUE"""),"Jaikishan")</f>
        <v>Jaikishan</v>
      </c>
      <c r="I37" s="7" t="str">
        <f>IFERROR(__xludf.DUMMYFUNCTION("""COMPUTED_VALUE"""),"Functional")</f>
        <v>Functional</v>
      </c>
      <c r="J37" s="7" t="str">
        <f>IFERROR(__xludf.DUMMYFUNCTION("""COMPUTED_VALUE"""),"")</f>
        <v/>
      </c>
      <c r="K37" s="7" t="str">
        <f>IFERROR(__xludf.DUMMYFUNCTION("""COMPUTED_VALUE"""),"Verify the data in Section dropdown.")</f>
        <v>Verify the data in Section dropdown.</v>
      </c>
      <c r="L37" s="7" t="str">
        <f>IFERROR(__xludf.DUMMYFUNCTION("""COMPUTED_VALUE"""),"1. Go to Manage form list.
2. Click on Modify form in Action.
3. Click on section list in action..
4. Click on Section Rely on.
5. Verify the data of Section dropdown.")</f>
        <v>1. Go to Manage form list.
2. Click on Modify form in Action.
3. Click on section list in action..
4. Click on Section Rely on.
5. Verify the data of Section dropdown.</v>
      </c>
      <c r="M37" s="7" t="str">
        <f>IFERROR(__xludf.DUMMYFUNCTION("""COMPUTED_VALUE"""),"All section which are define in modify form list except current section.")</f>
        <v>All section which are define in modify form list except current section.</v>
      </c>
      <c r="N37" s="7" t="str">
        <f>IFERROR(__xludf.DUMMYFUNCTION("""COMPUTED_VALUE"""),"All sections which are define current and before this question's section. ")</f>
        <v>All sections which are define current and before this question's section. </v>
      </c>
      <c r="O37" s="7" t="str">
        <f>IFERROR(__xludf.DUMMYFUNCTION("""COMPUTED_VALUE"""),"Cureent section is also shown in section dropdown")</f>
        <v>Cureent section is also shown in section dropdown</v>
      </c>
      <c r="P37" s="7" t="str">
        <f>IFERROR(__xludf.DUMMYFUNCTION("""COMPUTED_VALUE"""),"Fail")</f>
        <v>Fail</v>
      </c>
      <c r="Q37" s="7" t="str">
        <f>IFERROR(__xludf.DUMMYFUNCTION("""COMPUTED_VALUE"""),"Sanjay
")</f>
        <v>Sanjay
</v>
      </c>
      <c r="R37" s="8">
        <f>IFERROR(__xludf.DUMMYFUNCTION("""COMPUTED_VALUE"""),43795.0)</f>
        <v>43795</v>
      </c>
      <c r="S37" s="7" t="str">
        <f>IFERROR(__xludf.DUMMYFUNCTION("""COMPUTED_VALUE"""),"")</f>
        <v/>
      </c>
      <c r="T37" s="7"/>
      <c r="U37" s="7"/>
      <c r="V37" s="7"/>
      <c r="W37" s="7"/>
      <c r="X37" s="7"/>
      <c r="Y37" s="7"/>
      <c r="Z37" s="7"/>
    </row>
    <row r="38">
      <c r="A38" s="7" t="str">
        <f>IFERROR(__xludf.DUMMYFUNCTION("""COMPUTED_VALUE"""),"TCM_dKosh_General_SMF1_016_089")</f>
        <v>TCM_dKosh_General_SMF1_016_089</v>
      </c>
      <c r="B38" s="7" t="str">
        <f>IFERROR(__xludf.DUMMYFUNCTION("""COMPUTED_VALUE"""),"TP_dKosh_General_SMF1_016")</f>
        <v>TP_dKosh_General_SMF1_016</v>
      </c>
      <c r="C38" s="7">
        <f>IFERROR(__xludf.DUMMYFUNCTION("""COMPUTED_VALUE"""),89.0)</f>
        <v>89</v>
      </c>
      <c r="D38" s="7" t="str">
        <f>IFERROR(__xludf.DUMMYFUNCTION("""COMPUTED_VALUE"""),"Web, Mobile")</f>
        <v>Web, Mobile</v>
      </c>
      <c r="E38" s="7" t="str">
        <f>IFERROR(__xludf.DUMMYFUNCTION("""COMPUTED_VALUE"""),"Section Rely on")</f>
        <v>Section Rely on</v>
      </c>
      <c r="F38" s="7" t="str">
        <f>IFERROR(__xludf.DUMMYFUNCTION("""COMPUTED_VALUE"""),"Create")</f>
        <v>Create</v>
      </c>
      <c r="G38" s="7" t="str">
        <f>IFERROR(__xludf.DUMMYFUNCTION("""COMPUTED_VALUE"""),"M")</f>
        <v>M</v>
      </c>
      <c r="H38" s="7" t="str">
        <f>IFERROR(__xludf.DUMMYFUNCTION("""COMPUTED_VALUE"""),"Jaikishan")</f>
        <v>Jaikishan</v>
      </c>
      <c r="I38" s="7" t="str">
        <f>IFERROR(__xludf.DUMMYFUNCTION("""COMPUTED_VALUE"""),"Functional")</f>
        <v>Functional</v>
      </c>
      <c r="J38" s="7" t="str">
        <f>IFERROR(__xludf.DUMMYFUNCTION("""COMPUTED_VALUE"""),"")</f>
        <v/>
      </c>
      <c r="K38" s="7" t="str">
        <f>IFERROR(__xludf.DUMMYFUNCTION("""COMPUTED_VALUE"""),"Verify the data in Question dropdown.")</f>
        <v>Verify the data in Question dropdown.</v>
      </c>
      <c r="L38" s="7" t="str">
        <f>IFERROR(__xludf.DUMMYFUNCTION("""COMPUTED_VALUE"""),"1. Go to Manage form list.
2. Click on Modify form in Action.
3. Click on section list in action..
4. Click on Section Rely on.
5. Verify the data of Question dropdown.")</f>
        <v>1. Go to Manage form list.
2. Click on Modify form in Action.
3. Click on section list in action..
4. Click on Section Rely on.
5. Verify the data of Question dropdown.</v>
      </c>
      <c r="M38" s="7" t="str">
        <f>IFERROR(__xludf.DUMMYFUNCTION("""COMPUTED_VALUE"""),"Selected Section related question should be show in Question dropdown")</f>
        <v>Selected Section related question should be show in Question dropdown</v>
      </c>
      <c r="N38" s="7" t="str">
        <f>IFERROR(__xludf.DUMMYFUNCTION("""COMPUTED_VALUE"""),"All short name of questions which are define before this question. ")</f>
        <v>All short name of questions which are define before this question. </v>
      </c>
      <c r="O38" s="7" t="str">
        <f>IFERROR(__xludf.DUMMYFUNCTION("""COMPUTED_VALUE"""),"if the control type of other section is URL,file,scale,paragraph,text,date,time,email,Number then question is not shown")</f>
        <v>if the control type of other section is URL,file,scale,paragraph,text,date,time,email,Number then question is not shown</v>
      </c>
      <c r="P38" s="7" t="str">
        <f>IFERROR(__xludf.DUMMYFUNCTION("""COMPUTED_VALUE"""),"Fail")</f>
        <v>Fail</v>
      </c>
      <c r="Q38" s="7" t="str">
        <f>IFERROR(__xludf.DUMMYFUNCTION("""COMPUTED_VALUE"""),"Sanjay
")</f>
        <v>Sanjay
</v>
      </c>
      <c r="R38" s="8">
        <f>IFERROR(__xludf.DUMMYFUNCTION("""COMPUTED_VALUE"""),43795.0)</f>
        <v>43795</v>
      </c>
      <c r="S38" s="7" t="str">
        <f>IFERROR(__xludf.DUMMYFUNCTION("""COMPUTED_VALUE"""),"")</f>
        <v/>
      </c>
      <c r="T38" s="7"/>
      <c r="U38" s="7"/>
      <c r="V38" s="7"/>
      <c r="W38" s="7"/>
      <c r="X38" s="7"/>
      <c r="Y38" s="7"/>
      <c r="Z38" s="7"/>
    </row>
    <row r="39">
      <c r="A39" s="7" t="str">
        <f>IFERROR(__xludf.DUMMYFUNCTION("""COMPUTED_VALUE"""),"TCM_dKosh_General_SMF1_016_092")</f>
        <v>TCM_dKosh_General_SMF1_016_092</v>
      </c>
      <c r="B39" s="7" t="str">
        <f>IFERROR(__xludf.DUMMYFUNCTION("""COMPUTED_VALUE"""),"TP_dKosh_General_SMF1_016")</f>
        <v>TP_dKosh_General_SMF1_016</v>
      </c>
      <c r="C39" s="7">
        <f>IFERROR(__xludf.DUMMYFUNCTION("""COMPUTED_VALUE"""),92.0)</f>
        <v>92</v>
      </c>
      <c r="D39" s="7" t="str">
        <f>IFERROR(__xludf.DUMMYFUNCTION("""COMPUTED_VALUE"""),"Web, Mobile")</f>
        <v>Web, Mobile</v>
      </c>
      <c r="E39" s="7" t="str">
        <f>IFERROR(__xludf.DUMMYFUNCTION("""COMPUTED_VALUE"""),"Section Rely on")</f>
        <v>Section Rely on</v>
      </c>
      <c r="F39" s="7" t="str">
        <f>IFERROR(__xludf.DUMMYFUNCTION("""COMPUTED_VALUE"""),"Create")</f>
        <v>Create</v>
      </c>
      <c r="G39" s="7" t="str">
        <f>IFERROR(__xludf.DUMMYFUNCTION("""COMPUTED_VALUE"""),"M")</f>
        <v>M</v>
      </c>
      <c r="H39" s="7" t="str">
        <f>IFERROR(__xludf.DUMMYFUNCTION("""COMPUTED_VALUE"""),"Jaikishan")</f>
        <v>Jaikishan</v>
      </c>
      <c r="I39" s="7" t="str">
        <f>IFERROR(__xludf.DUMMYFUNCTION("""COMPUTED_VALUE"""),"Functional")</f>
        <v>Functional</v>
      </c>
      <c r="J39" s="7" t="str">
        <f>IFERROR(__xludf.DUMMYFUNCTION("""COMPUTED_VALUE"""),"")</f>
        <v/>
      </c>
      <c r="K39" s="7" t="str">
        <f>IFERROR(__xludf.DUMMYFUNCTION("""COMPUTED_VALUE"""),"Verify that user insert a ""Question depends on"" and ""Choices"" if there is already added a dependency for particular question.")</f>
        <v>Verify that user insert a "Question depends on" and "Choices" if there is already added a dependency for particular question.</v>
      </c>
      <c r="L39" s="7" t="str">
        <f>IFERROR(__xludf.DUMMYFUNCTION("""COMPUTED_VALUE"""),"1. Go to Manage form list.
2. Click on Modify form in Action.
3. Click on section list in action..
4. Click on Section Rely on.
5. Save the form.
6. Click on Section Rely on.
7. There should be already added a dependency.")</f>
        <v>1. Go to Manage form list.
2. Click on Modify form in Action.
3. Click on section list in action..
4. Click on Section Rely on.
5. Save the form.
6. Click on Section Rely on.
7. There should be already added a dependency.</v>
      </c>
      <c r="M39" s="7" t="str">
        <f>IFERROR(__xludf.DUMMYFUNCTION("""COMPUTED_VALUE"""),"""On click,
2. For existing dependency - show dependency added previously for that respective question, then insert options Question depends on and Choices""")</f>
        <v>"On click,
2. For existing dependency - show dependency added previously for that respective question, then insert options Question depends on and Choices"</v>
      </c>
      <c r="N39" s="7" t="str">
        <f>IFERROR(__xludf.DUMMYFUNCTION("""COMPUTED_VALUE"""),"")</f>
        <v/>
      </c>
      <c r="O39" s="7" t="str">
        <f>IFERROR(__xludf.DUMMYFUNCTION("""COMPUTED_VALUE"""),"")</f>
        <v/>
      </c>
      <c r="P39" s="7" t="str">
        <f>IFERROR(__xludf.DUMMYFUNCTION("""COMPUTED_VALUE"""),"?")</f>
        <v>?</v>
      </c>
      <c r="Q39" s="7" t="str">
        <f>IFERROR(__xludf.DUMMYFUNCTION("""COMPUTED_VALUE"""),"")</f>
        <v/>
      </c>
      <c r="R39" s="8">
        <f>IFERROR(__xludf.DUMMYFUNCTION("""COMPUTED_VALUE"""),43795.0)</f>
        <v>43795</v>
      </c>
      <c r="S39" s="7" t="str">
        <f>IFERROR(__xludf.DUMMYFUNCTION("""COMPUTED_VALUE"""),"")</f>
        <v/>
      </c>
      <c r="T39" s="7"/>
      <c r="U39" s="7"/>
      <c r="V39" s="7"/>
      <c r="W39" s="7"/>
      <c r="X39" s="7"/>
      <c r="Y39" s="7"/>
      <c r="Z39" s="7"/>
    </row>
    <row r="40">
      <c r="A40" s="7" t="str">
        <f>IFERROR(__xludf.DUMMYFUNCTION("""COMPUTED_VALUE"""),"TCM_dKosh_General_SMF1_016_093")</f>
        <v>TCM_dKosh_General_SMF1_016_093</v>
      </c>
      <c r="B40" s="7" t="str">
        <f>IFERROR(__xludf.DUMMYFUNCTION("""COMPUTED_VALUE"""),"TP_dKosh_General_SMF1_016")</f>
        <v>TP_dKosh_General_SMF1_016</v>
      </c>
      <c r="C40" s="7">
        <f>IFERROR(__xludf.DUMMYFUNCTION("""COMPUTED_VALUE"""),93.0)</f>
        <v>93</v>
      </c>
      <c r="D40" s="7" t="str">
        <f>IFERROR(__xludf.DUMMYFUNCTION("""COMPUTED_VALUE"""),"Web, Mobile")</f>
        <v>Web, Mobile</v>
      </c>
      <c r="E40" s="7" t="str">
        <f>IFERROR(__xludf.DUMMYFUNCTION("""COMPUTED_VALUE"""),"Section Rely on")</f>
        <v>Section Rely on</v>
      </c>
      <c r="F40" s="7" t="str">
        <f>IFERROR(__xludf.DUMMYFUNCTION("""COMPUTED_VALUE"""),"Create")</f>
        <v>Create</v>
      </c>
      <c r="G40" s="7" t="str">
        <f>IFERROR(__xludf.DUMMYFUNCTION("""COMPUTED_VALUE"""),"M")</f>
        <v>M</v>
      </c>
      <c r="H40" s="7" t="str">
        <f>IFERROR(__xludf.DUMMYFUNCTION("""COMPUTED_VALUE"""),"Jaikishan")</f>
        <v>Jaikishan</v>
      </c>
      <c r="I40" s="7" t="str">
        <f>IFERROR(__xludf.DUMMYFUNCTION("""COMPUTED_VALUE"""),"Functional")</f>
        <v>Functional</v>
      </c>
      <c r="J40" s="7" t="str">
        <f>IFERROR(__xludf.DUMMYFUNCTION("""COMPUTED_VALUE"""),"")</f>
        <v/>
      </c>
      <c r="K40" s="7" t="str">
        <f>IFERROR(__xludf.DUMMYFUNCTION("""COMPUTED_VALUE"""),"Verify that error message is displaying after click on Save button, if user is not selecting the Section Rely on field data.")</f>
        <v>Verify that error message is displaying after click on Save button, if user is not selecting the Section Rely on field data.</v>
      </c>
      <c r="L40" s="7" t="str">
        <f>IFERROR(__xludf.DUMMYFUNCTION("""COMPUTED_VALUE"""),"1. Go to Manage form list.
2. Click on Modify form in Action.
3. Click on section list in action..
4. Click on Section Rely on.
5. Don't select the data in section field.
6. Click on Ok button")</f>
        <v>1. Go to Manage form list.
2. Click on Modify form in Action.
3. Click on section list in action..
4. Click on Section Rely on.
5. Don't select the data in section field.
6. Click on Ok button</v>
      </c>
      <c r="M40" s="7" t="str">
        <f>IFERROR(__xludf.DUMMYFUNCTION("""COMPUTED_VALUE"""),"""Please select dependency for section"" message should be displayed.")</f>
        <v>"Please select dependency for section" message should be displayed.</v>
      </c>
      <c r="N40" s="7" t="str">
        <f>IFERROR(__xludf.DUMMYFUNCTION("""COMPUTED_VALUE"""),"")</f>
        <v/>
      </c>
      <c r="O40" s="7" t="str">
        <f>IFERROR(__xludf.DUMMYFUNCTION("""COMPUTED_VALUE"""),"No message showing for section rely on field")</f>
        <v>No message showing for section rely on field</v>
      </c>
      <c r="P40" s="7" t="str">
        <f>IFERROR(__xludf.DUMMYFUNCTION("""COMPUTED_VALUE"""),"Fail")</f>
        <v>Fail</v>
      </c>
      <c r="Q40" s="7" t="str">
        <f>IFERROR(__xludf.DUMMYFUNCTION("""COMPUTED_VALUE"""),"Sanjay
")</f>
        <v>Sanjay
</v>
      </c>
      <c r="R40" s="8">
        <f>IFERROR(__xludf.DUMMYFUNCTION("""COMPUTED_VALUE"""),43795.0)</f>
        <v>43795</v>
      </c>
      <c r="S40" s="7" t="str">
        <f>IFERROR(__xludf.DUMMYFUNCTION("""COMPUTED_VALUE"""),"")</f>
        <v/>
      </c>
      <c r="T40" s="7"/>
      <c r="U40" s="7"/>
      <c r="V40" s="7"/>
      <c r="W40" s="7"/>
      <c r="X40" s="7"/>
      <c r="Y40" s="7"/>
      <c r="Z40" s="7"/>
    </row>
    <row r="41">
      <c r="A41" s="7" t="str">
        <f>IFERROR(__xludf.DUMMYFUNCTION("""COMPUTED_VALUE"""),"TCM_dKosh_General_SMF1_016_097")</f>
        <v>TCM_dKosh_General_SMF1_016_097</v>
      </c>
      <c r="B41" s="7" t="str">
        <f>IFERROR(__xludf.DUMMYFUNCTION("""COMPUTED_VALUE"""),"TP_dKosh_General_SMF1_016")</f>
        <v>TP_dKosh_General_SMF1_016</v>
      </c>
      <c r="C41" s="7">
        <f>IFERROR(__xludf.DUMMYFUNCTION("""COMPUTED_VALUE"""),97.0)</f>
        <v>97</v>
      </c>
      <c r="D41" s="7" t="str">
        <f>IFERROR(__xludf.DUMMYFUNCTION("""COMPUTED_VALUE"""),"Web, Mobile")</f>
        <v>Web, Mobile</v>
      </c>
      <c r="E41" s="7" t="str">
        <f>IFERROR(__xludf.DUMMYFUNCTION("""COMPUTED_VALUE"""),"Section Rely on")</f>
        <v>Section Rely on</v>
      </c>
      <c r="F41" s="7" t="str">
        <f>IFERROR(__xludf.DUMMYFUNCTION("""COMPUTED_VALUE"""),"Modify ")</f>
        <v>Modify </v>
      </c>
      <c r="G41" s="7" t="str">
        <f>IFERROR(__xludf.DUMMYFUNCTION("""COMPUTED_VALUE"""),"M")</f>
        <v>M</v>
      </c>
      <c r="H41" s="7" t="str">
        <f>IFERROR(__xludf.DUMMYFUNCTION("""COMPUTED_VALUE"""),"Jaikishan")</f>
        <v>Jaikishan</v>
      </c>
      <c r="I41" s="7" t="str">
        <f>IFERROR(__xludf.DUMMYFUNCTION("""COMPUTED_VALUE"""),"Functional")</f>
        <v>Functional</v>
      </c>
      <c r="J41" s="7" t="str">
        <f>IFERROR(__xludf.DUMMYFUNCTION("""COMPUTED_VALUE"""),"")</f>
        <v/>
      </c>
      <c r="K41" s="7" t="str">
        <f>IFERROR(__xludf.DUMMYFUNCTION("""COMPUTED_VALUE"""),"Verify saved data is displaying in Section Rely on pop up form if user click on edit.")</f>
        <v>Verify saved data is displaying in Section Rely on pop up form if user click on edit.</v>
      </c>
      <c r="L41" s="7" t="str">
        <f>IFERROR(__xludf.DUMMYFUNCTION("""COMPUTED_VALUE"""),"1. Go to Manage form list.
2. Click on Modify form in Action.
3. Select any Section.
4. Click on Section Rely on.
5. Verify the saved data.")</f>
        <v>1. Go to Manage form list.
2. Click on Modify form in Action.
3. Select any Section.
4. Click on Section Rely on.
5. Verify the saved data.</v>
      </c>
      <c r="M41" s="7" t="str">
        <f>IFERROR(__xludf.DUMMYFUNCTION("""COMPUTED_VALUE"""),"Saved data should be displayed.")</f>
        <v>Saved data should be displayed.</v>
      </c>
      <c r="N41" s="7" t="str">
        <f>IFERROR(__xludf.DUMMYFUNCTION("""COMPUTED_VALUE"""),"")</f>
        <v/>
      </c>
      <c r="O41" s="7" t="str">
        <f>IFERROR(__xludf.DUMMYFUNCTION("""COMPUTED_VALUE"""),"Saved data is displaying but when add new row then same data is copied to new row.")</f>
        <v>Saved data is displaying but when add new row then same data is copied to new row.</v>
      </c>
      <c r="P41" s="7" t="str">
        <f>IFERROR(__xludf.DUMMYFUNCTION("""COMPUTED_VALUE"""),"Fail")</f>
        <v>Fail</v>
      </c>
      <c r="Q41" s="7" t="str">
        <f>IFERROR(__xludf.DUMMYFUNCTION("""COMPUTED_VALUE"""),"jaikishan")</f>
        <v>jaikishan</v>
      </c>
      <c r="R41" s="8">
        <f>IFERROR(__xludf.DUMMYFUNCTION("""COMPUTED_VALUE"""),43795.0)</f>
        <v>43795</v>
      </c>
      <c r="S41" s="7" t="str">
        <f>IFERROR(__xludf.DUMMYFUNCTION("""COMPUTED_VALUE"""),"")</f>
        <v/>
      </c>
      <c r="T41" s="7"/>
      <c r="U41" s="7"/>
      <c r="V41" s="7"/>
      <c r="W41" s="7"/>
      <c r="X41" s="7"/>
      <c r="Y41" s="7"/>
      <c r="Z41" s="7"/>
    </row>
    <row r="42">
      <c r="A42" s="7" t="str">
        <f>IFERROR(__xludf.DUMMYFUNCTION("""COMPUTED_VALUE"""),"TCM_dKosh_General_SMF1_016_100")</f>
        <v>TCM_dKosh_General_SMF1_016_100</v>
      </c>
      <c r="B42" s="7" t="str">
        <f>IFERROR(__xludf.DUMMYFUNCTION("""COMPUTED_VALUE"""),"TP_dKosh_General_SMF1_016")</f>
        <v>TP_dKosh_General_SMF1_016</v>
      </c>
      <c r="C42" s="7">
        <f>IFERROR(__xludf.DUMMYFUNCTION("""COMPUTED_VALUE"""),100.0)</f>
        <v>100</v>
      </c>
      <c r="D42" s="7" t="str">
        <f>IFERROR(__xludf.DUMMYFUNCTION("""COMPUTED_VALUE"""),"Web, Mobile")</f>
        <v>Web, Mobile</v>
      </c>
      <c r="E42" s="7" t="str">
        <f>IFERROR(__xludf.DUMMYFUNCTION("""COMPUTED_VALUE"""),"Section Rely on")</f>
        <v>Section Rely on</v>
      </c>
      <c r="F42" s="7" t="str">
        <f>IFERROR(__xludf.DUMMYFUNCTION("""COMPUTED_VALUE"""),"Modify ")</f>
        <v>Modify </v>
      </c>
      <c r="G42" s="7" t="str">
        <f>IFERROR(__xludf.DUMMYFUNCTION("""COMPUTED_VALUE"""),"M")</f>
        <v>M</v>
      </c>
      <c r="H42" s="7" t="str">
        <f>IFERROR(__xludf.DUMMYFUNCTION("""COMPUTED_VALUE"""),"Jaikishan")</f>
        <v>Jaikishan</v>
      </c>
      <c r="I42" s="7" t="str">
        <f>IFERROR(__xludf.DUMMYFUNCTION("""COMPUTED_VALUE"""),"Functional")</f>
        <v>Functional</v>
      </c>
      <c r="J42" s="7" t="str">
        <f>IFERROR(__xludf.DUMMYFUNCTION("""COMPUTED_VALUE"""),"")</f>
        <v/>
      </c>
      <c r="K42" s="7" t="str">
        <f>IFERROR(__xludf.DUMMYFUNCTION("""COMPUTED_VALUE"""),"Verify the depends on Section is deleted if user delete this.")</f>
        <v>Verify the depends on Section is deleted if user delete this.</v>
      </c>
      <c r="L42" s="7" t="str">
        <f>IFERROR(__xludf.DUMMYFUNCTION("""COMPUTED_VALUE"""),"1. Go to Manage form list.
2. Click on Modify form in Action.
3. Click on section list in action..
4. Click on Section Rely on.
5. Delete the data
6. Save the form.")</f>
        <v>1. Go to Manage form list.
2. Click on Modify form in Action.
3. Click on section list in action..
4. Click on Section Rely on.
5. Delete the data
6. Save the form.</v>
      </c>
      <c r="M42" s="7" t="str">
        <f>IFERROR(__xludf.DUMMYFUNCTION("""COMPUTED_VALUE"""),"Data should be deleted from tbl_sf_form_section")</f>
        <v>Data should be deleted from tbl_sf_form_section</v>
      </c>
      <c r="N42" s="7" t="str">
        <f>IFERROR(__xludf.DUMMYFUNCTION("""COMPUTED_VALUE"""),"")</f>
        <v/>
      </c>
      <c r="O42" s="7" t="str">
        <f>IFERROR(__xludf.DUMMYFUNCTION("""COMPUTED_VALUE"""),"")</f>
        <v/>
      </c>
      <c r="P42" s="7" t="str">
        <f>IFERROR(__xludf.DUMMYFUNCTION("""COMPUTED_VALUE"""),"?")</f>
        <v>?</v>
      </c>
      <c r="Q42" s="7" t="str">
        <f>IFERROR(__xludf.DUMMYFUNCTION("""COMPUTED_VALUE"""),"")</f>
        <v/>
      </c>
      <c r="R42" s="8" t="str">
        <f>IFERROR(__xludf.DUMMYFUNCTION("""COMPUTED_VALUE"""),"")</f>
        <v/>
      </c>
      <c r="S42" s="7" t="str">
        <f>IFERROR(__xludf.DUMMYFUNCTION("""COMPUTED_VALUE"""),"")</f>
        <v/>
      </c>
      <c r="T42" s="7"/>
      <c r="U42" s="7"/>
      <c r="V42" s="7"/>
      <c r="W42" s="7"/>
      <c r="X42" s="7"/>
      <c r="Y42" s="7"/>
      <c r="Z42" s="7"/>
    </row>
    <row r="43">
      <c r="A43" s="7" t="str">
        <f>IFERROR(__xludf.DUMMYFUNCTION("""COMPUTED_VALUE"""),"TCM_dKosh_General_SMF1_011_000")</f>
        <v>TCM_dKosh_General_SMF1_011_000</v>
      </c>
      <c r="B43" s="7" t="str">
        <f>IFERROR(__xludf.DUMMYFUNCTION("""COMPUTED_VALUE"""),"TP_dKosh_General_SMF1_011")</f>
        <v>TP_dKosh_General_SMF1_011</v>
      </c>
      <c r="C43" s="7" t="str">
        <f>IFERROR(__xludf.DUMMYFUNCTION("""COMPUTED_VALUE"""),"")</f>
        <v/>
      </c>
      <c r="D43" s="7" t="str">
        <f>IFERROR(__xludf.DUMMYFUNCTION("""COMPUTED_VALUE"""),"Web, Mobile")</f>
        <v>Web, Mobile</v>
      </c>
      <c r="E43" s="7" t="str">
        <f>IFERROR(__xludf.DUMMYFUNCTION("""COMPUTED_VALUE"""),"Modify Section")</f>
        <v>Modify Section</v>
      </c>
      <c r="F43" s="7" t="str">
        <f>IFERROR(__xludf.DUMMYFUNCTION("""COMPUTED_VALUE"""),"")</f>
        <v/>
      </c>
      <c r="G43" s="7" t="str">
        <f>IFERROR(__xludf.DUMMYFUNCTION("""COMPUTED_VALUE"""),"M")</f>
        <v>M</v>
      </c>
      <c r="H43" s="7" t="str">
        <f>IFERROR(__xludf.DUMMYFUNCTION("""COMPUTED_VALUE"""),"Jaikishan")</f>
        <v>Jaikishan</v>
      </c>
      <c r="I43" s="7" t="str">
        <f>IFERROR(__xludf.DUMMYFUNCTION("""COMPUTED_VALUE"""),"Validation
")</f>
        <v>Validation
</v>
      </c>
      <c r="J43" s="7" t="str">
        <f>IFERROR(__xludf.DUMMYFUNCTION("""COMPUTED_VALUE"""),"")</f>
        <v/>
      </c>
      <c r="K43" s="7" t="str">
        <f>IFERROR(__xludf.DUMMYFUNCTION("""COMPUTED_VALUE"""),"Verify Update/Close button in Edit section")</f>
        <v>Verify Update/Close button in Edit section</v>
      </c>
      <c r="L43" s="7" t="str">
        <f>IFERROR(__xludf.DUMMYFUNCTION("""COMPUTED_VALUE"""),"")</f>
        <v/>
      </c>
      <c r="M43" s="7" t="str">
        <f>IFERROR(__xludf.DUMMYFUNCTION("""COMPUTED_VALUE"""),"On close - pop up close
On Update - Data save with acknowledge message")</f>
        <v>On close - pop up close
On Update - Data save with acknowledge message</v>
      </c>
      <c r="N43" s="7" t="str">
        <f>IFERROR(__xludf.DUMMYFUNCTION("""COMPUTED_VALUE"""),"")</f>
        <v/>
      </c>
      <c r="O43" s="7" t="str">
        <f>IFERROR(__xludf.DUMMYFUNCTION("""COMPUTED_VALUE"""),"1. On Close - Page Refresh
2. Update - Acknowledge message not showing")</f>
        <v>1. On Close - Page Refresh
2. Update - Acknowledge message not showing</v>
      </c>
      <c r="P43" s="7" t="str">
        <f>IFERROR(__xludf.DUMMYFUNCTION("""COMPUTED_VALUE"""),"Fail")</f>
        <v>Fail</v>
      </c>
      <c r="Q43" s="7" t="str">
        <f>IFERROR(__xludf.DUMMYFUNCTION("""COMPUTED_VALUE"""),"Jaikishan")</f>
        <v>Jaikishan</v>
      </c>
      <c r="R43" s="8">
        <f>IFERROR(__xludf.DUMMYFUNCTION("""COMPUTED_VALUE"""),43795.0)</f>
        <v>43795</v>
      </c>
      <c r="S43" s="7" t="str">
        <f>IFERROR(__xludf.DUMMYFUNCTION("""COMPUTED_VALUE"""),"")</f>
        <v/>
      </c>
      <c r="T43" s="7"/>
      <c r="U43" s="7"/>
      <c r="V43" s="7"/>
      <c r="W43" s="7"/>
      <c r="X43" s="7"/>
      <c r="Y43" s="7"/>
      <c r="Z43" s="7"/>
    </row>
    <row r="44">
      <c r="A44" s="7" t="str">
        <f>IFERROR(__xludf.DUMMYFUNCTION("""COMPUTED_VALUE"""),"TCM_dKosh_General_SMF1_011_000")</f>
        <v>TCM_dKosh_General_SMF1_011_000</v>
      </c>
      <c r="B44" s="7" t="str">
        <f>IFERROR(__xludf.DUMMYFUNCTION("""COMPUTED_VALUE"""),"TP_dKosh_General_SMF1_011")</f>
        <v>TP_dKosh_General_SMF1_011</v>
      </c>
      <c r="C44" s="7" t="str">
        <f>IFERROR(__xludf.DUMMYFUNCTION("""COMPUTED_VALUE"""),"")</f>
        <v/>
      </c>
      <c r="D44" s="7" t="str">
        <f>IFERROR(__xludf.DUMMYFUNCTION("""COMPUTED_VALUE"""),"Web, Mobile")</f>
        <v>Web, Mobile</v>
      </c>
      <c r="E44" s="7" t="str">
        <f>IFERROR(__xludf.DUMMYFUNCTION("""COMPUTED_VALUE"""),"Modify Section")</f>
        <v>Modify Section</v>
      </c>
      <c r="F44" s="7" t="str">
        <f>IFERROR(__xludf.DUMMYFUNCTION("""COMPUTED_VALUE"""),"")</f>
        <v/>
      </c>
      <c r="G44" s="7" t="str">
        <f>IFERROR(__xludf.DUMMYFUNCTION("""COMPUTED_VALUE"""),"M")</f>
        <v>M</v>
      </c>
      <c r="H44" s="7" t="str">
        <f>IFERROR(__xludf.DUMMYFUNCTION("""COMPUTED_VALUE"""),"Jaikishan")</f>
        <v>Jaikishan</v>
      </c>
      <c r="I44" s="7" t="str">
        <f>IFERROR(__xludf.DUMMYFUNCTION("""COMPUTED_VALUE"""),"Functional")</f>
        <v>Functional</v>
      </c>
      <c r="J44" s="7" t="str">
        <f>IFERROR(__xludf.DUMMYFUNCTION("""COMPUTED_VALUE"""),"")</f>
        <v/>
      </c>
      <c r="K44" s="7" t="str">
        <f>IFERROR(__xludf.DUMMYFUNCTION("""COMPUTED_VALUE"""),"Verify Delete section pop up, when click on ""Ok"" button without selecting any radio")</f>
        <v>Verify Delete section pop up, when click on "Ok" button without selecting any radio</v>
      </c>
      <c r="L44" s="7" t="str">
        <f>IFERROR(__xludf.DUMMYFUNCTION("""COMPUTED_VALUE"""),"")</f>
        <v/>
      </c>
      <c r="M44" s="7" t="str">
        <f>IFERROR(__xludf.DUMMYFUNCTION("""COMPUTED_VALUE"""),"Bydefault one radio should be selected.")</f>
        <v>Bydefault one radio should be selected.</v>
      </c>
      <c r="N44" s="7" t="str">
        <f>IFERROR(__xludf.DUMMYFUNCTION("""COMPUTED_VALUE"""),"")</f>
        <v/>
      </c>
      <c r="O44" s="7" t="str">
        <f>IFERROR(__xludf.DUMMYFUNCTION("""COMPUTED_VALUE"""),"Default radio is not selected.
2. Showing pop up in large window")</f>
        <v>Default radio is not selected.
2. Showing pop up in large window</v>
      </c>
      <c r="P44" s="7" t="str">
        <f>IFERROR(__xludf.DUMMYFUNCTION("""COMPUTED_VALUE"""),"Fail")</f>
        <v>Fail</v>
      </c>
      <c r="Q44" s="7" t="str">
        <f>IFERROR(__xludf.DUMMYFUNCTION("""COMPUTED_VALUE"""),"Jaikishan")</f>
        <v>Jaikishan</v>
      </c>
      <c r="R44" s="8">
        <f>IFERROR(__xludf.DUMMYFUNCTION("""COMPUTED_VALUE"""),43795.0)</f>
        <v>43795</v>
      </c>
      <c r="S44" s="7" t="str">
        <f>IFERROR(__xludf.DUMMYFUNCTION("""COMPUTED_VALUE"""),"")</f>
        <v/>
      </c>
      <c r="T44" s="7"/>
      <c r="U44" s="7"/>
      <c r="V44" s="7"/>
      <c r="W44" s="7"/>
      <c r="X44" s="7"/>
      <c r="Y44" s="7"/>
      <c r="Z44" s="7"/>
    </row>
    <row r="45">
      <c r="A45" s="7" t="str">
        <f>IFERROR(__xludf.DUMMYFUNCTION("""COMPUTED_VALUE"""),"TCM_dKosh_General_SMF1_035_104")</f>
        <v>TCM_dKosh_General_SMF1_035_104</v>
      </c>
      <c r="B45" s="7" t="str">
        <f>IFERROR(__xludf.DUMMYFUNCTION("""COMPUTED_VALUE"""),"TP_dKosh_General_SMF1_035")</f>
        <v>TP_dKosh_General_SMF1_035</v>
      </c>
      <c r="C45" s="7">
        <f>IFERROR(__xludf.DUMMYFUNCTION("""COMPUTED_VALUE"""),104.0)</f>
        <v>104</v>
      </c>
      <c r="D45" s="7" t="str">
        <f>IFERROR(__xludf.DUMMYFUNCTION("""COMPUTED_VALUE"""),"Web, Mobile")</f>
        <v>Web, Mobile</v>
      </c>
      <c r="E45" s="7" t="str">
        <f>IFERROR(__xludf.DUMMYFUNCTION("""COMPUTED_VALUE"""),"Form View")</f>
        <v>Form View</v>
      </c>
      <c r="F45" s="7" t="str">
        <f>IFERROR(__xludf.DUMMYFUNCTION("""COMPUTED_VALUE"""),"")</f>
        <v/>
      </c>
      <c r="G45" s="7" t="str">
        <f>IFERROR(__xludf.DUMMYFUNCTION("""COMPUTED_VALUE"""),"M")</f>
        <v>M</v>
      </c>
      <c r="H45" s="7" t="str">
        <f>IFERROR(__xludf.DUMMYFUNCTION("""COMPUTED_VALUE"""),"Jaikishan")</f>
        <v>Jaikishan</v>
      </c>
      <c r="I45" s="7" t="str">
        <f>IFERROR(__xludf.DUMMYFUNCTION("""COMPUTED_VALUE"""),"UI")</f>
        <v>UI</v>
      </c>
      <c r="J45" s="7" t="str">
        <f>IFERROR(__xludf.DUMMYFUNCTION("""COMPUTED_VALUE"""),"1. Form must be created.
2. User has permission of Preview form")</f>
        <v>1. Form must be created.
2. User has permission of Preview form</v>
      </c>
      <c r="K45" s="7" t="str">
        <f>IFERROR(__xludf.DUMMYFUNCTION("""COMPUTED_VALUE"""),"Verify the section sequence is displaying same as in modify form")</f>
        <v>Verify the section sequence is displaying same as in modify form</v>
      </c>
      <c r="L45" s="7" t="str">
        <f>IFERROR(__xludf.DUMMYFUNCTION("""COMPUTED_VALUE"""),"1. Go to Manage form list.
2. Click on Preview in Action.
3. Check section")</f>
        <v>1. Go to Manage form list.
2. Click on Preview in Action.
3. Check section</v>
      </c>
      <c r="M45" s="7" t="str">
        <f>IFERROR(__xludf.DUMMYFUNCTION("""COMPUTED_VALUE"""),"Section should be show according to thier sequence")</f>
        <v>Section should be show according to thier sequence</v>
      </c>
      <c r="N45" s="7" t="str">
        <f>IFERROR(__xludf.DUMMYFUNCTION("""COMPUTED_VALUE"""),"")</f>
        <v/>
      </c>
      <c r="O45" s="7" t="str">
        <f>IFERROR(__xludf.DUMMYFUNCTION("""COMPUTED_VALUE"""),"Section sequence not changed")</f>
        <v>Section sequence not changed</v>
      </c>
      <c r="P45" s="7" t="str">
        <f>IFERROR(__xludf.DUMMYFUNCTION("""COMPUTED_VALUE"""),"Fail")</f>
        <v>Fail</v>
      </c>
      <c r="Q45" s="7" t="str">
        <f>IFERROR(__xludf.DUMMYFUNCTION("""COMPUTED_VALUE"""),"Jaikishan")</f>
        <v>Jaikishan</v>
      </c>
      <c r="R45" s="8">
        <f>IFERROR(__xludf.DUMMYFUNCTION("""COMPUTED_VALUE"""),43795.0)</f>
        <v>43795</v>
      </c>
      <c r="S45" s="7" t="str">
        <f>IFERROR(__xludf.DUMMYFUNCTION("""COMPUTED_VALUE"""),"")</f>
        <v/>
      </c>
      <c r="T45" s="7"/>
      <c r="U45" s="7"/>
      <c r="V45" s="7"/>
      <c r="W45" s="7"/>
      <c r="X45" s="7"/>
      <c r="Y45" s="7"/>
      <c r="Z45" s="7"/>
    </row>
    <row r="46">
      <c r="A46" s="7" t="str">
        <f>IFERROR(__xludf.DUMMYFUNCTION("""COMPUTED_VALUE"""),"TCM_dKosh_General_SMF1_035_106")</f>
        <v>TCM_dKosh_General_SMF1_035_106</v>
      </c>
      <c r="B46" s="7" t="str">
        <f>IFERROR(__xludf.DUMMYFUNCTION("""COMPUTED_VALUE"""),"TP_dKosh_General_SMF1_035")</f>
        <v>TP_dKosh_General_SMF1_035</v>
      </c>
      <c r="C46" s="7">
        <f>IFERROR(__xludf.DUMMYFUNCTION("""COMPUTED_VALUE"""),106.0)</f>
        <v>106</v>
      </c>
      <c r="D46" s="7" t="str">
        <f>IFERROR(__xludf.DUMMYFUNCTION("""COMPUTED_VALUE"""),"Web, Mobile")</f>
        <v>Web, Mobile</v>
      </c>
      <c r="E46" s="7" t="str">
        <f>IFERROR(__xludf.DUMMYFUNCTION("""COMPUTED_VALUE"""),"Form View")</f>
        <v>Form View</v>
      </c>
      <c r="F46" s="7" t="str">
        <f>IFERROR(__xludf.DUMMYFUNCTION("""COMPUTED_VALUE"""),"Modify")</f>
        <v>Modify</v>
      </c>
      <c r="G46" s="7" t="str">
        <f>IFERROR(__xludf.DUMMYFUNCTION("""COMPUTED_VALUE"""),"M")</f>
        <v>M</v>
      </c>
      <c r="H46" s="7" t="str">
        <f>IFERROR(__xludf.DUMMYFUNCTION("""COMPUTED_VALUE"""),"Jaikishan")</f>
        <v>Jaikishan</v>
      </c>
      <c r="I46" s="7" t="str">
        <f>IFERROR(__xludf.DUMMYFUNCTION("""COMPUTED_VALUE"""),"Validation")</f>
        <v>Validation</v>
      </c>
      <c r="J46" s="7" t="str">
        <f>IFERROR(__xludf.DUMMYFUNCTION("""COMPUTED_VALUE"""),"1. Form must be created.
2. User has permission of Preview form")</f>
        <v>1. Form must be created.
2. User has permission of Preview form</v>
      </c>
      <c r="K46" s="7" t="str">
        <f>IFERROR(__xludf.DUMMYFUNCTION("""COMPUTED_VALUE"""),"Verify Section sequence change when edit sequence in modify form")</f>
        <v>Verify Section sequence change when edit sequence in modify form</v>
      </c>
      <c r="L46" s="7" t="str">
        <f>IFERROR(__xludf.DUMMYFUNCTION("""COMPUTED_VALUE"""),"1. Go to Manage form list.
2. Click on Modify Form in Action.
3. Change section sequence number
4. Go to Preview Form
5. Check Section")</f>
        <v>1. Go to Manage form list.
2. Click on Modify Form in Action.
3. Change section sequence number
4. Go to Preview Form
5. Check Section</v>
      </c>
      <c r="M46" s="7" t="str">
        <f>IFERROR(__xludf.DUMMYFUNCTION("""COMPUTED_VALUE"""),"Section should be show according to thier updated sequence")</f>
        <v>Section should be show according to thier updated sequence</v>
      </c>
      <c r="N46" s="7" t="str">
        <f>IFERROR(__xludf.DUMMYFUNCTION("""COMPUTED_VALUE"""),"")</f>
        <v/>
      </c>
      <c r="O46" s="7" t="str">
        <f>IFERROR(__xludf.DUMMYFUNCTION("""COMPUTED_VALUE"""),"Sequence not changed in preview form")</f>
        <v>Sequence not changed in preview form</v>
      </c>
      <c r="P46" s="7" t="str">
        <f>IFERROR(__xludf.DUMMYFUNCTION("""COMPUTED_VALUE"""),"Fail")</f>
        <v>Fail</v>
      </c>
      <c r="Q46" s="7" t="str">
        <f>IFERROR(__xludf.DUMMYFUNCTION("""COMPUTED_VALUE"""),"Jaikishan")</f>
        <v>Jaikishan</v>
      </c>
      <c r="R46" s="8">
        <f>IFERROR(__xludf.DUMMYFUNCTION("""COMPUTED_VALUE"""),43795.0)</f>
        <v>43795</v>
      </c>
      <c r="S46" s="7" t="str">
        <f>IFERROR(__xludf.DUMMYFUNCTION("""COMPUTED_VALUE"""),"")</f>
        <v/>
      </c>
      <c r="T46" s="7"/>
      <c r="U46" s="7"/>
      <c r="V46" s="7"/>
      <c r="W46" s="7"/>
      <c r="X46" s="7"/>
      <c r="Y46" s="7"/>
      <c r="Z46" s="7"/>
    </row>
    <row r="47">
      <c r="A47" s="7" t="str">
        <f>IFERROR(__xludf.DUMMYFUNCTION("""COMPUTED_VALUE"""),"TCM_dKosh_General_SMF1_035_107")</f>
        <v>TCM_dKosh_General_SMF1_035_107</v>
      </c>
      <c r="B47" s="7" t="str">
        <f>IFERROR(__xludf.DUMMYFUNCTION("""COMPUTED_VALUE"""),"TP_dKosh_General_SMF1_035")</f>
        <v>TP_dKosh_General_SMF1_035</v>
      </c>
      <c r="C47" s="7">
        <f>IFERROR(__xludf.DUMMYFUNCTION("""COMPUTED_VALUE"""),107.0)</f>
        <v>107</v>
      </c>
      <c r="D47" s="7" t="str">
        <f>IFERROR(__xludf.DUMMYFUNCTION("""COMPUTED_VALUE"""),"Web, Mobile")</f>
        <v>Web, Mobile</v>
      </c>
      <c r="E47" s="7" t="str">
        <f>IFERROR(__xludf.DUMMYFUNCTION("""COMPUTED_VALUE"""),"Form View")</f>
        <v>Form View</v>
      </c>
      <c r="F47" s="7" t="str">
        <f>IFERROR(__xludf.DUMMYFUNCTION("""COMPUTED_VALUE"""),"Modify")</f>
        <v>Modify</v>
      </c>
      <c r="G47" s="7" t="str">
        <f>IFERROR(__xludf.DUMMYFUNCTION("""COMPUTED_VALUE"""),"M")</f>
        <v>M</v>
      </c>
      <c r="H47" s="7" t="str">
        <f>IFERROR(__xludf.DUMMYFUNCTION("""COMPUTED_VALUE"""),"Jaikishan")</f>
        <v>Jaikishan</v>
      </c>
      <c r="I47" s="7" t="str">
        <f>IFERROR(__xludf.DUMMYFUNCTION("""COMPUTED_VALUE"""),"Validation")</f>
        <v>Validation</v>
      </c>
      <c r="J47" s="7" t="str">
        <f>IFERROR(__xludf.DUMMYFUNCTION("""COMPUTED_VALUE"""),"1. Form must be created.
2. User has permission of Preview form")</f>
        <v>1. Form must be created.
2. User has permission of Preview form</v>
      </c>
      <c r="K47" s="7" t="str">
        <f>IFERROR(__xludf.DUMMYFUNCTION("""COMPUTED_VALUE"""),"Verify, Shuffle Question is ""Yes"" in section then check question is shuffled in Preview form.")</f>
        <v>Verify, Shuffle Question is "Yes" in section then check question is shuffled in Preview form.</v>
      </c>
      <c r="L47" s="7" t="str">
        <f>IFERROR(__xludf.DUMMYFUNCTION("""COMPUTED_VALUE"""),"1. Go to Manage form list.
2. Click on Modify Form in Action.
3. Set shuffle question as ""Yes""
4. Go to Preview Form
5. Check Section")</f>
        <v>1. Go to Manage form list.
2. Click on Modify Form in Action.
3. Set shuffle question as "Yes"
4. Go to Preview Form
5. Check Section</v>
      </c>
      <c r="M47" s="7" t="str">
        <f>IFERROR(__xludf.DUMMYFUNCTION("""COMPUTED_VALUE"""),"Question should be shuffle for each time when open preview form")</f>
        <v>Question should be shuffle for each time when open preview form</v>
      </c>
      <c r="N47" s="7" t="str">
        <f>IFERROR(__xludf.DUMMYFUNCTION("""COMPUTED_VALUE"""),"")</f>
        <v/>
      </c>
      <c r="O47" s="7" t="str">
        <f>IFERROR(__xludf.DUMMYFUNCTION("""COMPUTED_VALUE"""),"Question not shuffled")</f>
        <v>Question not shuffled</v>
      </c>
      <c r="P47" s="7" t="str">
        <f>IFERROR(__xludf.DUMMYFUNCTION("""COMPUTED_VALUE"""),"Fail")</f>
        <v>Fail</v>
      </c>
      <c r="Q47" s="7" t="str">
        <f>IFERROR(__xludf.DUMMYFUNCTION("""COMPUTED_VALUE"""),"Jaikishan")</f>
        <v>Jaikishan</v>
      </c>
      <c r="R47" s="8">
        <f>IFERROR(__xludf.DUMMYFUNCTION("""COMPUTED_VALUE"""),43795.0)</f>
        <v>43795</v>
      </c>
      <c r="S47" s="7" t="str">
        <f>IFERROR(__xludf.DUMMYFUNCTION("""COMPUTED_VALUE"""),"")</f>
        <v/>
      </c>
      <c r="T47" s="7"/>
      <c r="U47" s="7"/>
      <c r="V47" s="7"/>
      <c r="W47" s="7"/>
      <c r="X47" s="7"/>
      <c r="Y47" s="7"/>
      <c r="Z47" s="7"/>
    </row>
    <row r="48">
      <c r="A48" s="7" t="str">
        <f>IFERROR(__xludf.DUMMYFUNCTION("""COMPUTED_VALUE"""),"TCM_dKosh_General_SMF1_035_117")</f>
        <v>TCM_dKosh_General_SMF1_035_117</v>
      </c>
      <c r="B48" s="7" t="str">
        <f>IFERROR(__xludf.DUMMYFUNCTION("""COMPUTED_VALUE"""),"TP_dKosh_General_SMF1_035")</f>
        <v>TP_dKosh_General_SMF1_035</v>
      </c>
      <c r="C48" s="7">
        <f>IFERROR(__xludf.DUMMYFUNCTION("""COMPUTED_VALUE"""),117.0)</f>
        <v>117</v>
      </c>
      <c r="D48" s="7" t="str">
        <f>IFERROR(__xludf.DUMMYFUNCTION("""COMPUTED_VALUE"""),"Web, Mobile")</f>
        <v>Web, Mobile</v>
      </c>
      <c r="E48" s="7" t="str">
        <f>IFERROR(__xludf.DUMMYFUNCTION("""COMPUTED_VALUE"""),"Form View")</f>
        <v>Form View</v>
      </c>
      <c r="F48" s="7" t="str">
        <f>IFERROR(__xludf.DUMMYFUNCTION("""COMPUTED_VALUE"""),"Reorder")</f>
        <v>Reorder</v>
      </c>
      <c r="G48" s="7" t="str">
        <f>IFERROR(__xludf.DUMMYFUNCTION("""COMPUTED_VALUE"""),"M")</f>
        <v>M</v>
      </c>
      <c r="H48" s="7" t="str">
        <f>IFERROR(__xludf.DUMMYFUNCTION("""COMPUTED_VALUE"""),"Jaikishan")</f>
        <v>Jaikishan</v>
      </c>
      <c r="I48" s="7" t="str">
        <f>IFERROR(__xludf.DUMMYFUNCTION("""COMPUTED_VALUE"""),"Functional")</f>
        <v>Functional</v>
      </c>
      <c r="J48" s="7" t="str">
        <f>IFERROR(__xludf.DUMMYFUNCTION("""COMPUTED_VALUE"""),"1. Form must be created.
2. User has permission of Preview form")</f>
        <v>1. Form must be created.
2. User has permission of Preview form</v>
      </c>
      <c r="K48" s="7" t="str">
        <f>IFERROR(__xludf.DUMMYFUNCTION("""COMPUTED_VALUE"""),"Verify, Preview Form when Reorder Section in modify form")</f>
        <v>Verify, Preview Form when Reorder Section in modify form</v>
      </c>
      <c r="L48" s="7" t="str">
        <f>IFERROR(__xludf.DUMMYFUNCTION("""COMPUTED_VALUE"""),"1. Go to Manage form list.
2. Click on Modify Form in Action.
3. Reorder a section
4. Go to Preview Form
5. Check Section")</f>
        <v>1. Go to Manage form list.
2. Click on Modify Form in Action.
3. Reorder a section
4. Go to Preview Form
5. Check Section</v>
      </c>
      <c r="M48" s="7" t="str">
        <f>IFERROR(__xludf.DUMMYFUNCTION("""COMPUTED_VALUE"""),"1. Section should be should according to reorder section.
2. All Question in that section also reorder according to section.")</f>
        <v>1. Section should be should according to reorder section.
2. All Question in that section also reorder according to section.</v>
      </c>
      <c r="N48" s="7" t="str">
        <f>IFERROR(__xludf.DUMMYFUNCTION("""COMPUTED_VALUE"""),"")</f>
        <v/>
      </c>
      <c r="O48" s="7" t="str">
        <f>IFERROR(__xludf.DUMMYFUNCTION("""COMPUTED_VALUE"""),"Section not changed")</f>
        <v>Section not changed</v>
      </c>
      <c r="P48" s="7" t="str">
        <f>IFERROR(__xludf.DUMMYFUNCTION("""COMPUTED_VALUE"""),"Fail")</f>
        <v>Fail</v>
      </c>
      <c r="Q48" s="7" t="str">
        <f>IFERROR(__xludf.DUMMYFUNCTION("""COMPUTED_VALUE"""),"Jaikishan")</f>
        <v>Jaikishan</v>
      </c>
      <c r="R48" s="8">
        <f>IFERROR(__xludf.DUMMYFUNCTION("""COMPUTED_VALUE"""),43795.0)</f>
        <v>43795</v>
      </c>
      <c r="S48" s="7" t="str">
        <f>IFERROR(__xludf.DUMMYFUNCTION("""COMPUTED_VALUE"""),"")</f>
        <v/>
      </c>
      <c r="T48" s="7"/>
      <c r="U48" s="7"/>
      <c r="V48" s="7"/>
      <c r="W48" s="7"/>
      <c r="X48" s="7"/>
      <c r="Y48" s="7"/>
      <c r="Z48" s="7"/>
    </row>
    <row r="49">
      <c r="A49" s="7" t="str">
        <f>IFERROR(__xludf.DUMMYFUNCTION("""COMPUTED_VALUE"""),"TCM_dKosh_General_SMF1_035_119")</f>
        <v>TCM_dKosh_General_SMF1_035_119</v>
      </c>
      <c r="B49" s="7" t="str">
        <f>IFERROR(__xludf.DUMMYFUNCTION("""COMPUTED_VALUE"""),"TP_dKosh_General_SMF1_035")</f>
        <v>TP_dKosh_General_SMF1_035</v>
      </c>
      <c r="C49" s="7">
        <f>IFERROR(__xludf.DUMMYFUNCTION("""COMPUTED_VALUE"""),119.0)</f>
        <v>119</v>
      </c>
      <c r="D49" s="7" t="str">
        <f>IFERROR(__xludf.DUMMYFUNCTION("""COMPUTED_VALUE"""),"Web, Mobile")</f>
        <v>Web, Mobile</v>
      </c>
      <c r="E49" s="7" t="str">
        <f>IFERROR(__xludf.DUMMYFUNCTION("""COMPUTED_VALUE"""),"Form View")</f>
        <v>Form View</v>
      </c>
      <c r="F49" s="7" t="str">
        <f>IFERROR(__xludf.DUMMYFUNCTION("""COMPUTED_VALUE"""),"Rely On")</f>
        <v>Rely On</v>
      </c>
      <c r="G49" s="7" t="str">
        <f>IFERROR(__xludf.DUMMYFUNCTION("""COMPUTED_VALUE"""),"M")</f>
        <v>M</v>
      </c>
      <c r="H49" s="7" t="str">
        <f>IFERROR(__xludf.DUMMYFUNCTION("""COMPUTED_VALUE"""),"Jaikishan")</f>
        <v>Jaikishan</v>
      </c>
      <c r="I49" s="7" t="str">
        <f>IFERROR(__xludf.DUMMYFUNCTION("""COMPUTED_VALUE"""),"Functional")</f>
        <v>Functional</v>
      </c>
      <c r="J49" s="7" t="str">
        <f>IFERROR(__xludf.DUMMYFUNCTION("""COMPUTED_VALUE"""),"1. Form must be created.
2. User has permission of Preview form")</f>
        <v>1. Form must be created.
2. User has permission of Preview form</v>
      </c>
      <c r="K49" s="7" t="str">
        <f>IFERROR(__xludf.DUMMYFUNCTION("""COMPUTED_VALUE"""),"Verify, section open in preview form when Section rely on depends on multiple question.")</f>
        <v>Verify, section open in preview form when Section rely on depends on multiple question.</v>
      </c>
      <c r="L49" s="7" t="str">
        <f>IFERROR(__xludf.DUMMYFUNCTION("""COMPUTED_VALUE"""),"1. Go to Manage form list.
2. Click on Modify Form in Action.
3. Rely on section to multiple question
4. Go to Preview Form
5. Check Section")</f>
        <v>1. Go to Manage form list.
2. Click on Modify Form in Action.
3. Rely on section to multiple question
4. Go to Preview Form
5. Check Section</v>
      </c>
      <c r="M49" s="7" t="str">
        <f>IFERROR(__xludf.DUMMYFUNCTION("""COMPUTED_VALUE"""),"Section should be enabled when all dependent question answered.")</f>
        <v>Section should be enabled when all dependent question answered.</v>
      </c>
      <c r="N49" s="7" t="str">
        <f>IFERROR(__xludf.DUMMYFUNCTION("""COMPUTED_VALUE"""),"")</f>
        <v/>
      </c>
      <c r="O49" s="7" t="str">
        <f>IFERROR(__xludf.DUMMYFUNCTION("""COMPUTED_VALUE"""),"Section enabled when only one choice is selected.")</f>
        <v>Section enabled when only one choice is selected.</v>
      </c>
      <c r="P49" s="7" t="str">
        <f>IFERROR(__xludf.DUMMYFUNCTION("""COMPUTED_VALUE"""),"Fail")</f>
        <v>Fail</v>
      </c>
      <c r="Q49" s="7" t="str">
        <f>IFERROR(__xludf.DUMMYFUNCTION("""COMPUTED_VALUE"""),"Jaikishan")</f>
        <v>Jaikishan</v>
      </c>
      <c r="R49" s="8">
        <f>IFERROR(__xludf.DUMMYFUNCTION("""COMPUTED_VALUE"""),43795.0)</f>
        <v>43795</v>
      </c>
      <c r="S49" s="7" t="str">
        <f>IFERROR(__xludf.DUMMYFUNCTION("""COMPUTED_VALUE"""),"")</f>
        <v/>
      </c>
      <c r="T49" s="7"/>
      <c r="U49" s="7"/>
      <c r="V49" s="7"/>
      <c r="W49" s="7"/>
      <c r="X49" s="7"/>
      <c r="Y49" s="7"/>
      <c r="Z49" s="7"/>
    </row>
    <row r="50">
      <c r="A50" s="7" t="str">
        <f>IFERROR(__xludf.DUMMYFUNCTION("""COMPUTED_VALUE"""),"TCM_dKosh_General_SMF1_035_121")</f>
        <v>TCM_dKosh_General_SMF1_035_121</v>
      </c>
      <c r="B50" s="7" t="str">
        <f>IFERROR(__xludf.DUMMYFUNCTION("""COMPUTED_VALUE"""),"TP_dKosh_General_SMF1_035")</f>
        <v>TP_dKosh_General_SMF1_035</v>
      </c>
      <c r="C50" s="7">
        <f>IFERROR(__xludf.DUMMYFUNCTION("""COMPUTED_VALUE"""),121.0)</f>
        <v>121</v>
      </c>
      <c r="D50" s="7" t="str">
        <f>IFERROR(__xludf.DUMMYFUNCTION("""COMPUTED_VALUE"""),"Web, Mobile")</f>
        <v>Web, Mobile</v>
      </c>
      <c r="E50" s="7" t="str">
        <f>IFERROR(__xludf.DUMMYFUNCTION("""COMPUTED_VALUE"""),"Form View")</f>
        <v>Form View</v>
      </c>
      <c r="F50" s="7" t="str">
        <f>IFERROR(__xludf.DUMMYFUNCTION("""COMPUTED_VALUE"""),"Rely On")</f>
        <v>Rely On</v>
      </c>
      <c r="G50" s="7" t="str">
        <f>IFERROR(__xludf.DUMMYFUNCTION("""COMPUTED_VALUE"""),"M")</f>
        <v>M</v>
      </c>
      <c r="H50" s="7" t="str">
        <f>IFERROR(__xludf.DUMMYFUNCTION("""COMPUTED_VALUE"""),"Jaikishan")</f>
        <v>Jaikishan</v>
      </c>
      <c r="I50" s="7" t="str">
        <f>IFERROR(__xludf.DUMMYFUNCTION("""COMPUTED_VALUE"""),"Functional")</f>
        <v>Functional</v>
      </c>
      <c r="J50" s="7" t="str">
        <f>IFERROR(__xludf.DUMMYFUNCTION("""COMPUTED_VALUE"""),"1. Form must be created.
2. User has permission of Preview form")</f>
        <v>1. Form must be created.
2. User has permission of Preview form</v>
      </c>
      <c r="K50" s="7" t="str">
        <f>IFERROR(__xludf.DUMMYFUNCTION("""COMPUTED_VALUE"""),"Verify, when question is required in dependent section , and save without filling data into it.")</f>
        <v>Verify, when question is required in dependent section , and save without filling data into it.</v>
      </c>
      <c r="L50" s="7" t="str">
        <f>IFERROR(__xludf.DUMMYFUNCTION("""COMPUTED_VALUE"""),"")</f>
        <v/>
      </c>
      <c r="M50" s="7" t="str">
        <f>IFERROR(__xludf.DUMMYFUNCTION("""COMPUTED_VALUE"""),"Form should not save, Showing some error message.
")</f>
        <v>Form should not save, Showing some error message.
</v>
      </c>
      <c r="N50" s="7" t="str">
        <f>IFERROR(__xludf.DUMMYFUNCTION("""COMPUTED_VALUE"""),"")</f>
        <v/>
      </c>
      <c r="O50" s="7" t="str">
        <f>IFERROR(__xludf.DUMMYFUNCTION("""COMPUTED_VALUE"""),"Required Question not showing any asaterisk mark on it.")</f>
        <v>Required Question not showing any asaterisk mark on it.</v>
      </c>
      <c r="P50" s="7" t="str">
        <f>IFERROR(__xludf.DUMMYFUNCTION("""COMPUTED_VALUE"""),"Fail")</f>
        <v>Fail</v>
      </c>
      <c r="Q50" s="7" t="str">
        <f>IFERROR(__xludf.DUMMYFUNCTION("""COMPUTED_VALUE"""),"Jaikishan")</f>
        <v>Jaikishan</v>
      </c>
      <c r="R50" s="8">
        <f>IFERROR(__xludf.DUMMYFUNCTION("""COMPUTED_VALUE"""),43795.0)</f>
        <v>43795</v>
      </c>
      <c r="S50" s="7" t="str">
        <f>IFERROR(__xludf.DUMMYFUNCTION("""COMPUTED_VALUE"""),"")</f>
        <v/>
      </c>
      <c r="T50" s="7"/>
      <c r="U50" s="7"/>
      <c r="V50" s="7"/>
      <c r="W50" s="7"/>
      <c r="X50" s="7"/>
      <c r="Y50" s="7"/>
      <c r="Z50" s="7"/>
    </row>
    <row r="51">
      <c r="A51" s="7" t="str">
        <f>IFERROR(__xludf.DUMMYFUNCTION("""COMPUTED_VALUE"""),"TCM_dKosh_General_SMF1_035_123")</f>
        <v>TCM_dKosh_General_SMF1_035_123</v>
      </c>
      <c r="B51" s="7" t="str">
        <f>IFERROR(__xludf.DUMMYFUNCTION("""COMPUTED_VALUE"""),"TP_dKosh_General_SMF1_035")</f>
        <v>TP_dKosh_General_SMF1_035</v>
      </c>
      <c r="C51" s="7">
        <f>IFERROR(__xludf.DUMMYFUNCTION("""COMPUTED_VALUE"""),123.0)</f>
        <v>123</v>
      </c>
      <c r="D51" s="7" t="str">
        <f>IFERROR(__xludf.DUMMYFUNCTION("""COMPUTED_VALUE"""),"Web, Mobile")</f>
        <v>Web, Mobile</v>
      </c>
      <c r="E51" s="7" t="str">
        <f>IFERROR(__xludf.DUMMYFUNCTION("""COMPUTED_VALUE"""),"Form View")</f>
        <v>Form View</v>
      </c>
      <c r="F51" s="7" t="str">
        <f>IFERROR(__xludf.DUMMYFUNCTION("""COMPUTED_VALUE"""),"Rely On")</f>
        <v>Rely On</v>
      </c>
      <c r="G51" s="7" t="str">
        <f>IFERROR(__xludf.DUMMYFUNCTION("""COMPUTED_VALUE"""),"M")</f>
        <v>M</v>
      </c>
      <c r="H51" s="7" t="str">
        <f>IFERROR(__xludf.DUMMYFUNCTION("""COMPUTED_VALUE"""),"Jaikishan")</f>
        <v>Jaikishan</v>
      </c>
      <c r="I51" s="7" t="str">
        <f>IFERROR(__xludf.DUMMYFUNCTION("""COMPUTED_VALUE"""),"Functional")</f>
        <v>Functional</v>
      </c>
      <c r="J51" s="7" t="str">
        <f>IFERROR(__xludf.DUMMYFUNCTION("""COMPUTED_VALUE"""),"1. Form must be created.
2. User has permission of Preview form")</f>
        <v>1. Form must be created.
2. User has permission of Preview form</v>
      </c>
      <c r="K51" s="7" t="str">
        <f>IFERROR(__xludf.DUMMYFUNCTION("""COMPUTED_VALUE"""),"Verify, Section hide when select dependent question and then unselect it.")</f>
        <v>Verify, Section hide when select dependent question and then unselect it.</v>
      </c>
      <c r="L51" s="7" t="str">
        <f>IFERROR(__xludf.DUMMYFUNCTION("""COMPUTED_VALUE"""),"")</f>
        <v/>
      </c>
      <c r="M51" s="7" t="str">
        <f>IFERROR(__xludf.DUMMYFUNCTION("""COMPUTED_VALUE"""),"Section should be hide from preview form")</f>
        <v>Section should be hide from preview form</v>
      </c>
      <c r="N51" s="7" t="str">
        <f>IFERROR(__xludf.DUMMYFUNCTION("""COMPUTED_VALUE"""),"")</f>
        <v/>
      </c>
      <c r="O51" s="7" t="str">
        <f>IFERROR(__xludf.DUMMYFUNCTION("""COMPUTED_VALUE"""),"Section Dependency not working.")</f>
        <v>Section Dependency not working.</v>
      </c>
      <c r="P51" s="7" t="str">
        <f>IFERROR(__xludf.DUMMYFUNCTION("""COMPUTED_VALUE"""),"Fail")</f>
        <v>Fail</v>
      </c>
      <c r="Q51" s="7" t="str">
        <f>IFERROR(__xludf.DUMMYFUNCTION("""COMPUTED_VALUE"""),"Jaikishan")</f>
        <v>Jaikishan</v>
      </c>
      <c r="R51" s="8">
        <f>IFERROR(__xludf.DUMMYFUNCTION("""COMPUTED_VALUE"""),43795.0)</f>
        <v>43795</v>
      </c>
      <c r="S51" s="7" t="str">
        <f>IFERROR(__xludf.DUMMYFUNCTION("""COMPUTED_VALUE"""),"")</f>
        <v/>
      </c>
      <c r="T51" s="7"/>
      <c r="U51" s="7"/>
      <c r="V51" s="7"/>
      <c r="W51" s="7"/>
      <c r="X51" s="7"/>
      <c r="Y51" s="7"/>
      <c r="Z51" s="7"/>
    </row>
    <row r="52">
      <c r="A52" s="10" t="str">
        <f>IFERROR(__xludf.DUMMYFUNCTION("""COMPUTED_VALUE"""),"TCM_dKosh_General_SMF1_036_134")</f>
        <v>TCM_dKosh_General_SMF1_036_134</v>
      </c>
      <c r="B52" s="10" t="str">
        <f>IFERROR(__xludf.DUMMYFUNCTION("""COMPUTED_VALUE"""),"TP_dKosh_General_SMF1_036")</f>
        <v>TP_dKosh_General_SMF1_036</v>
      </c>
      <c r="C52" s="10">
        <f>IFERROR(__xludf.DUMMYFUNCTION("""COMPUTED_VALUE"""),134.0)</f>
        <v>134</v>
      </c>
      <c r="D52" s="10" t="str">
        <f>IFERROR(__xludf.DUMMYFUNCTION("""COMPUTED_VALUE"""),"Web, Mobile")</f>
        <v>Web, Mobile</v>
      </c>
      <c r="E52" s="10" t="str">
        <f>IFERROR(__xludf.DUMMYFUNCTION("""COMPUTED_VALUE"""),"Master Question bank")</f>
        <v>Master Question bank</v>
      </c>
      <c r="F52" s="10" t="str">
        <f>IFERROR(__xludf.DUMMYFUNCTION("""COMPUTED_VALUE"""),"")</f>
        <v/>
      </c>
      <c r="G52" s="10" t="str">
        <f>IFERROR(__xludf.DUMMYFUNCTION("""COMPUTED_VALUE"""),"M")</f>
        <v>M</v>
      </c>
      <c r="H52" s="10" t="str">
        <f>IFERROR(__xludf.DUMMYFUNCTION("""COMPUTED_VALUE"""),"Jaikishan")</f>
        <v>Jaikishan</v>
      </c>
      <c r="I52" s="10" t="str">
        <f>IFERROR(__xludf.DUMMYFUNCTION("""COMPUTED_VALUE"""),"Database
")</f>
        <v>Database
</v>
      </c>
      <c r="J52" s="10" t="str">
        <f>IFERROR(__xludf.DUMMYFUNCTION("""COMPUTED_VALUE"""),"")</f>
        <v/>
      </c>
      <c r="K52" s="10" t="str">
        <f>IFERROR(__xludf.DUMMYFUNCTION("""COMPUTED_VALUE"""),"Verify the Size of columns in tbl_sf_master_question table with ERP database sheet.")</f>
        <v>Verify the Size of columns in tbl_sf_master_question table with ERP database sheet.</v>
      </c>
      <c r="L52" s="10" t="str">
        <f>IFERROR(__xludf.DUMMYFUNCTION("""COMPUTED_VALUE"""),"1. Open database
2. Verify values")</f>
        <v>1. Open database
2. Verify values</v>
      </c>
      <c r="M52" s="10" t="str">
        <f>IFERROR(__xludf.DUMMYFUNCTION("""COMPUTED_VALUE"""),"All values should be matched")</f>
        <v>All values should be matched</v>
      </c>
      <c r="N52" s="10" t="str">
        <f>IFERROR(__xludf.DUMMYFUNCTION("""COMPUTED_VALUE"""),"")</f>
        <v/>
      </c>
      <c r="O52" s="10" t="str">
        <f>IFERROR(__xludf.DUMMYFUNCTION("""COMPUTED_VALUE"""),"txt_choice_lov_query, type and size not matched")</f>
        <v>txt_choice_lov_query, type and size not matched</v>
      </c>
      <c r="P52" s="10" t="str">
        <f>IFERROR(__xludf.DUMMYFUNCTION("""COMPUTED_VALUE"""),"Fail")</f>
        <v>Fail</v>
      </c>
      <c r="Q52" s="10" t="str">
        <f>IFERROR(__xludf.DUMMYFUNCTION("""COMPUTED_VALUE"""),"Jaikishan")</f>
        <v>Jaikishan</v>
      </c>
      <c r="R52" s="11">
        <f>IFERROR(__xludf.DUMMYFUNCTION("""COMPUTED_VALUE"""),43825.0)</f>
        <v>43825</v>
      </c>
      <c r="S52" s="10" t="str">
        <f>IFERROR(__xludf.DUMMYFUNCTION("""COMPUTED_VALUE"""),"TR2019W52 - Jaikishan")</f>
        <v>TR2019W52 - Jaikishan</v>
      </c>
      <c r="T52" s="12" t="s">
        <v>8</v>
      </c>
      <c r="U52" s="12" t="s">
        <v>9</v>
      </c>
      <c r="V52" s="10"/>
      <c r="W52" s="10"/>
      <c r="X52" s="10"/>
      <c r="Y52" s="10"/>
      <c r="Z52" s="10"/>
    </row>
    <row r="53">
      <c r="A53" s="7" t="str">
        <f>IFERROR(__xludf.DUMMYFUNCTION("""COMPUTED_VALUE"""),"TCM_dKosh_General_SMF1_036_137")</f>
        <v>TCM_dKosh_General_SMF1_036_137</v>
      </c>
      <c r="B53" s="7" t="str">
        <f>IFERROR(__xludf.DUMMYFUNCTION("""COMPUTED_VALUE"""),"TP_dKosh_General_SMF1_036")</f>
        <v>TP_dKosh_General_SMF1_036</v>
      </c>
      <c r="C53" s="7">
        <f>IFERROR(__xludf.DUMMYFUNCTION("""COMPUTED_VALUE"""),137.0)</f>
        <v>137</v>
      </c>
      <c r="D53" s="7" t="str">
        <f>IFERROR(__xludf.DUMMYFUNCTION("""COMPUTED_VALUE"""),"Web, Mobile")</f>
        <v>Web, Mobile</v>
      </c>
      <c r="E53" s="7" t="str">
        <f>IFERROR(__xludf.DUMMYFUNCTION("""COMPUTED_VALUE"""),"Master Question bank")</f>
        <v>Master Question bank</v>
      </c>
      <c r="F53" s="7" t="str">
        <f>IFERROR(__xludf.DUMMYFUNCTION("""COMPUTED_VALUE"""),"Export to Question Bank")</f>
        <v>Export to Question Bank</v>
      </c>
      <c r="G53" s="7" t="str">
        <f>IFERROR(__xludf.DUMMYFUNCTION("""COMPUTED_VALUE"""),"M")</f>
        <v>M</v>
      </c>
      <c r="H53" s="7" t="str">
        <f>IFERROR(__xludf.DUMMYFUNCTION("""COMPUTED_VALUE"""),"Jaikishan")</f>
        <v>Jaikishan</v>
      </c>
      <c r="I53" s="7" t="str">
        <f>IFERROR(__xludf.DUMMYFUNCTION("""COMPUTED_VALUE"""),"UI")</f>
        <v>UI</v>
      </c>
      <c r="J53" s="7" t="str">
        <f>IFERROR(__xludf.DUMMYFUNCTION("""COMPUTED_VALUE"""),"")</f>
        <v/>
      </c>
      <c r="K53" s="7" t="str">
        <f>IFERROR(__xludf.DUMMYFUNCTION("""COMPUTED_VALUE"""),"Verify, label,Sequence,Hover of ""Export to question bank"" at Question level.")</f>
        <v>Verify, label,Sequence,Hover of "Export to question bank" at Question level.</v>
      </c>
      <c r="L53" s="7" t="str">
        <f>IFERROR(__xludf.DUMMYFUNCTION("""COMPUTED_VALUE"""),"1. Create Form
2. Create some question on it.
3. Click on question action.
4. Check label of Export")</f>
        <v>1. Create Form
2. Create some question on it.
3. Click on question action.
4. Check label of Export</v>
      </c>
      <c r="M53" s="7" t="str">
        <f>IFERROR(__xludf.DUMMYFUNCTION("""COMPUTED_VALUE"""),"Label : Export To Question Bank
Sequence : ?
Hover : Export To Question Bank
")</f>
        <v>Label : Export To Question Bank
Sequence : ?
Hover : Export To Question Bank
</v>
      </c>
      <c r="N53" s="7" t="str">
        <f>IFERROR(__xludf.DUMMYFUNCTION("""COMPUTED_VALUE"""),"")</f>
        <v/>
      </c>
      <c r="O53" s="7" t="str">
        <f>IFERROR(__xludf.DUMMYFUNCTION("""COMPUTED_VALUE"""),"Not using camel casing.")</f>
        <v>Not using camel casing.</v>
      </c>
      <c r="P53" s="7" t="str">
        <f>IFERROR(__xludf.DUMMYFUNCTION("""COMPUTED_VALUE"""),"?")</f>
        <v>?</v>
      </c>
      <c r="Q53" s="7" t="str">
        <f>IFERROR(__xludf.DUMMYFUNCTION("""COMPUTED_VALUE"""),"Jaikishan")</f>
        <v>Jaikishan</v>
      </c>
      <c r="R53" s="8">
        <f>IFERROR(__xludf.DUMMYFUNCTION("""COMPUTED_VALUE"""),43825.0)</f>
        <v>43825</v>
      </c>
      <c r="S53" s="7" t="str">
        <f>IFERROR(__xludf.DUMMYFUNCTION("""COMPUTED_VALUE"""),"TR2019W52 - Jaikishan")</f>
        <v>TR2019W52 - Jaikishan</v>
      </c>
      <c r="T53" s="7"/>
      <c r="U53" s="7"/>
      <c r="V53" s="7"/>
      <c r="W53" s="7"/>
      <c r="X53" s="7"/>
      <c r="Y53" s="7"/>
      <c r="Z53" s="7"/>
    </row>
    <row r="54">
      <c r="A54" s="7" t="str">
        <f>IFERROR(__xludf.DUMMYFUNCTION("""COMPUTED_VALUE"""),"TCM_dKosh_General_SMF1_036_138")</f>
        <v>TCM_dKosh_General_SMF1_036_138</v>
      </c>
      <c r="B54" s="7" t="str">
        <f>IFERROR(__xludf.DUMMYFUNCTION("""COMPUTED_VALUE"""),"TP_dKosh_General_SMF1_036")</f>
        <v>TP_dKosh_General_SMF1_036</v>
      </c>
      <c r="C54" s="7">
        <f>IFERROR(__xludf.DUMMYFUNCTION("""COMPUTED_VALUE"""),138.0)</f>
        <v>138</v>
      </c>
      <c r="D54" s="7" t="str">
        <f>IFERROR(__xludf.DUMMYFUNCTION("""COMPUTED_VALUE"""),"Web, Mobile")</f>
        <v>Web, Mobile</v>
      </c>
      <c r="E54" s="7" t="str">
        <f>IFERROR(__xludf.DUMMYFUNCTION("""COMPUTED_VALUE"""),"Master Question bank")</f>
        <v>Master Question bank</v>
      </c>
      <c r="F54" s="7" t="str">
        <f>IFERROR(__xludf.DUMMYFUNCTION("""COMPUTED_VALUE"""),"Export to Question Bank")</f>
        <v>Export to Question Bank</v>
      </c>
      <c r="G54" s="7" t="str">
        <f>IFERROR(__xludf.DUMMYFUNCTION("""COMPUTED_VALUE"""),"M")</f>
        <v>M</v>
      </c>
      <c r="H54" s="7" t="str">
        <f>IFERROR(__xludf.DUMMYFUNCTION("""COMPUTED_VALUE"""),"Jaikishan")</f>
        <v>Jaikishan</v>
      </c>
      <c r="I54" s="7" t="str">
        <f>IFERROR(__xludf.DUMMYFUNCTION("""COMPUTED_VALUE"""),"Validation")</f>
        <v>Validation</v>
      </c>
      <c r="J54" s="7" t="str">
        <f>IFERROR(__xludf.DUMMYFUNCTION("""COMPUTED_VALUE"""),"")</f>
        <v/>
      </c>
      <c r="K54" s="7" t="str">
        <f>IFERROR(__xludf.DUMMYFUNCTION("""COMPUTED_VALUE"""),"Verify, Confirmation pop up when click on ""Export to question bank"".")</f>
        <v>Verify, Confirmation pop up when click on "Export to question bank".</v>
      </c>
      <c r="L54" s="7" t="str">
        <f>IFERROR(__xludf.DUMMYFUNCTION("""COMPUTED_VALUE"""),"1. Click on Question action.
2. Click on ""Export to question bank""
3. Check pop up.")</f>
        <v>1. Click on Question action.
2. Click on "Export to question bank"
3. Check pop up.</v>
      </c>
      <c r="M54" s="7" t="str">
        <f>IFERROR(__xludf.DUMMYFUNCTION("""COMPUTED_VALUE"""),"Confirmation Message ""Are you sure, you want to Export shortname_1 to question bank?")</f>
        <v>Confirmation Message "Are you sure, you want to Export shortname_1 to question bank?</v>
      </c>
      <c r="N54" s="7" t="str">
        <f>IFERROR(__xludf.DUMMYFUNCTION("""COMPUTED_VALUE"""),"")</f>
        <v/>
      </c>
      <c r="O54" s="7" t="str">
        <f>IFERROR(__xludf.DUMMYFUNCTION("""COMPUTED_VALUE"""),"Confirmation message is wrong.")</f>
        <v>Confirmation message is wrong.</v>
      </c>
      <c r="P54" s="7" t="str">
        <f>IFERROR(__xludf.DUMMYFUNCTION("""COMPUTED_VALUE"""),"Fail")</f>
        <v>Fail</v>
      </c>
      <c r="Q54" s="7" t="str">
        <f>IFERROR(__xludf.DUMMYFUNCTION("""COMPUTED_VALUE"""),"Jaikishan")</f>
        <v>Jaikishan</v>
      </c>
      <c r="R54" s="8">
        <f>IFERROR(__xludf.DUMMYFUNCTION("""COMPUTED_VALUE"""),43825.0)</f>
        <v>43825</v>
      </c>
      <c r="S54" s="7" t="str">
        <f>IFERROR(__xludf.DUMMYFUNCTION("""COMPUTED_VALUE"""),"TR2019W52 - Jaikishan")</f>
        <v>TR2019W52 - Jaikishan</v>
      </c>
      <c r="T54" s="9" t="s">
        <v>10</v>
      </c>
      <c r="U54" s="7"/>
      <c r="V54" s="9" t="s">
        <v>11</v>
      </c>
      <c r="W54" s="7"/>
      <c r="X54" s="7"/>
      <c r="Y54" s="7"/>
      <c r="Z54" s="7"/>
    </row>
    <row r="55">
      <c r="A55" s="7" t="str">
        <f>IFERROR(__xludf.DUMMYFUNCTION("""COMPUTED_VALUE"""),"TCM_dKosh_General_SMF1_036_139")</f>
        <v>TCM_dKosh_General_SMF1_036_139</v>
      </c>
      <c r="B55" s="7" t="str">
        <f>IFERROR(__xludf.DUMMYFUNCTION("""COMPUTED_VALUE"""),"TP_dKosh_General_SMF1_036")</f>
        <v>TP_dKosh_General_SMF1_036</v>
      </c>
      <c r="C55" s="7">
        <f>IFERROR(__xludf.DUMMYFUNCTION("""COMPUTED_VALUE"""),139.0)</f>
        <v>139</v>
      </c>
      <c r="D55" s="7" t="str">
        <f>IFERROR(__xludf.DUMMYFUNCTION("""COMPUTED_VALUE"""),"Web, Mobile")</f>
        <v>Web, Mobile</v>
      </c>
      <c r="E55" s="7" t="str">
        <f>IFERROR(__xludf.DUMMYFUNCTION("""COMPUTED_VALUE"""),"Master Question bank")</f>
        <v>Master Question bank</v>
      </c>
      <c r="F55" s="7" t="str">
        <f>IFERROR(__xludf.DUMMYFUNCTION("""COMPUTED_VALUE"""),"Export to Question Bank")</f>
        <v>Export to Question Bank</v>
      </c>
      <c r="G55" s="7" t="str">
        <f>IFERROR(__xludf.DUMMYFUNCTION("""COMPUTED_VALUE"""),"M")</f>
        <v>M</v>
      </c>
      <c r="H55" s="7" t="str">
        <f>IFERROR(__xludf.DUMMYFUNCTION("""COMPUTED_VALUE"""),"Jaikishan")</f>
        <v>Jaikishan</v>
      </c>
      <c r="I55" s="7" t="str">
        <f>IFERROR(__xludf.DUMMYFUNCTION("""COMPUTED_VALUE"""),"Validation")</f>
        <v>Validation</v>
      </c>
      <c r="J55" s="7" t="str">
        <f>IFERROR(__xludf.DUMMYFUNCTION("""COMPUTED_VALUE"""),"")</f>
        <v/>
      </c>
      <c r="K55" s="7" t="str">
        <f>IFERROR(__xludf.DUMMYFUNCTION("""COMPUTED_VALUE"""),"Verify, Message after click on ""Ok"" button of confirmation pop up.")</f>
        <v>Verify, Message after click on "Ok" button of confirmation pop up.</v>
      </c>
      <c r="L55" s="7" t="str">
        <f>IFERROR(__xludf.DUMMYFUNCTION("""COMPUTED_VALUE"""),"1. Click on Question action.
2. Click on ""Export to question bank""
3. Click on ""Ok"" button")</f>
        <v>1. Click on Question action.
2. Click on "Export to question bank"
3. Click on "Ok" button</v>
      </c>
      <c r="M55" s="7" t="str">
        <f>IFERROR(__xludf.DUMMYFUNCTION("""COMPUTED_VALUE"""),"On click message should be ""Question has been exported successfully.""
")</f>
        <v>On click message should be "Question has been exported successfully."
</v>
      </c>
      <c r="N55" s="7" t="str">
        <f>IFERROR(__xludf.DUMMYFUNCTION("""COMPUTED_VALUE"""),"")</f>
        <v/>
      </c>
      <c r="O55" s="7" t="str">
        <f>IFERROR(__xludf.DUMMYFUNCTION("""COMPUTED_VALUE"""),"Message ""Question has been saved successfully."" is showing.")</f>
        <v>Message "Question has been saved successfully." is showing.</v>
      </c>
      <c r="P55" s="7" t="str">
        <f>IFERROR(__xludf.DUMMYFUNCTION("""COMPUTED_VALUE"""),"?")</f>
        <v>?</v>
      </c>
      <c r="Q55" s="7" t="str">
        <f>IFERROR(__xludf.DUMMYFUNCTION("""COMPUTED_VALUE"""),"Jaikishan")</f>
        <v>Jaikishan</v>
      </c>
      <c r="R55" s="8">
        <f>IFERROR(__xludf.DUMMYFUNCTION("""COMPUTED_VALUE"""),43825.0)</f>
        <v>43825</v>
      </c>
      <c r="S55" s="7" t="str">
        <f>IFERROR(__xludf.DUMMYFUNCTION("""COMPUTED_VALUE"""),"TR2019W52 - Jaikishan")</f>
        <v>TR2019W52 - Jaikishan</v>
      </c>
      <c r="T55" s="9"/>
      <c r="U55" s="7"/>
      <c r="V55" s="7"/>
      <c r="W55" s="7"/>
      <c r="X55" s="7"/>
      <c r="Y55" s="7"/>
      <c r="Z55" s="7"/>
    </row>
    <row r="56">
      <c r="A56" s="7" t="str">
        <f>IFERROR(__xludf.DUMMYFUNCTION("""COMPUTED_VALUE"""),"TCM_dKosh_General_SMF1_036_145")</f>
        <v>TCM_dKosh_General_SMF1_036_145</v>
      </c>
      <c r="B56" s="7" t="str">
        <f>IFERROR(__xludf.DUMMYFUNCTION("""COMPUTED_VALUE"""),"TP_dKosh_General_SMF1_036")</f>
        <v>TP_dKosh_General_SMF1_036</v>
      </c>
      <c r="C56" s="7">
        <f>IFERROR(__xludf.DUMMYFUNCTION("""COMPUTED_VALUE"""),145.0)</f>
        <v>145</v>
      </c>
      <c r="D56" s="7" t="str">
        <f>IFERROR(__xludf.DUMMYFUNCTION("""COMPUTED_VALUE"""),"Web, Mobile")</f>
        <v>Web, Mobile</v>
      </c>
      <c r="E56" s="7" t="str">
        <f>IFERROR(__xludf.DUMMYFUNCTION("""COMPUTED_VALUE"""),"Master Question bank")</f>
        <v>Master Question bank</v>
      </c>
      <c r="F56" s="7" t="str">
        <f>IFERROR(__xludf.DUMMYFUNCTION("""COMPUTED_VALUE"""),"Export Questions")</f>
        <v>Export Questions</v>
      </c>
      <c r="G56" s="7" t="str">
        <f>IFERROR(__xludf.DUMMYFUNCTION("""COMPUTED_VALUE"""),"M")</f>
        <v>M</v>
      </c>
      <c r="H56" s="7" t="str">
        <f>IFERROR(__xludf.DUMMYFUNCTION("""COMPUTED_VALUE"""),"Jaikishan")</f>
        <v>Jaikishan</v>
      </c>
      <c r="I56" s="7" t="str">
        <f>IFERROR(__xludf.DUMMYFUNCTION("""COMPUTED_VALUE"""),"UI")</f>
        <v>UI</v>
      </c>
      <c r="J56" s="7" t="str">
        <f>IFERROR(__xludf.DUMMYFUNCTION("""COMPUTED_VALUE"""),"")</f>
        <v/>
      </c>
      <c r="K56" s="7" t="str">
        <f>IFERROR(__xludf.DUMMYFUNCTION("""COMPUTED_VALUE"""),"Verify, Label in Export Question pop up.")</f>
        <v>Verify, Label in Export Question pop up.</v>
      </c>
      <c r="L56" s="7" t="str">
        <f>IFERROR(__xludf.DUMMYFUNCTION("""COMPUTED_VALUE"""),"")</f>
        <v/>
      </c>
      <c r="M56" s="7" t="str">
        <f>IFERROR(__xludf.DUMMYFUNCTION("""COMPUTED_VALUE"""),"Select 'Section name' questions to export
7 Questions (0 selected)")</f>
        <v>Select 'Section name' questions to export
7 Questions (0 selected)</v>
      </c>
      <c r="N56" s="7" t="str">
        <f>IFERROR(__xludf.DUMMYFUNCTION("""COMPUTED_VALUE"""),"")</f>
        <v/>
      </c>
      <c r="O56" s="7" t="str">
        <f>IFERROR(__xludf.DUMMYFUNCTION("""COMPUTED_VALUE"""),"Extra Space after '(' bracket.")</f>
        <v>Extra Space after '(' bracket.</v>
      </c>
      <c r="P56" s="7" t="str">
        <f>IFERROR(__xludf.DUMMYFUNCTION("""COMPUTED_VALUE"""),"Fail")</f>
        <v>Fail</v>
      </c>
      <c r="Q56" s="7" t="str">
        <f>IFERROR(__xludf.DUMMYFUNCTION("""COMPUTED_VALUE"""),"Jaikishan")</f>
        <v>Jaikishan</v>
      </c>
      <c r="R56" s="8">
        <f>IFERROR(__xludf.DUMMYFUNCTION("""COMPUTED_VALUE"""),43825.0)</f>
        <v>43825</v>
      </c>
      <c r="S56" s="7" t="str">
        <f>IFERROR(__xludf.DUMMYFUNCTION("""COMPUTED_VALUE"""),"TR2019W52 - Jaikishan")</f>
        <v>TR2019W52 - Jaikishan</v>
      </c>
      <c r="T56" s="9" t="s">
        <v>10</v>
      </c>
      <c r="U56" s="7"/>
      <c r="V56" s="9" t="s">
        <v>11</v>
      </c>
      <c r="W56" s="7"/>
      <c r="X56" s="7"/>
      <c r="Y56" s="7"/>
      <c r="Z56" s="7"/>
    </row>
    <row r="57">
      <c r="A57" s="7" t="str">
        <f>IFERROR(__xludf.DUMMYFUNCTION("""COMPUTED_VALUE"""),"TCM_dKosh_General_SMF1_036_151")</f>
        <v>TCM_dKosh_General_SMF1_036_151</v>
      </c>
      <c r="B57" s="7" t="str">
        <f>IFERROR(__xludf.DUMMYFUNCTION("""COMPUTED_VALUE"""),"TP_dKosh_General_SMF1_036")</f>
        <v>TP_dKosh_General_SMF1_036</v>
      </c>
      <c r="C57" s="7">
        <f>IFERROR(__xludf.DUMMYFUNCTION("""COMPUTED_VALUE"""),151.0)</f>
        <v>151</v>
      </c>
      <c r="D57" s="7" t="str">
        <f>IFERROR(__xludf.DUMMYFUNCTION("""COMPUTED_VALUE"""),"Web, Mobile")</f>
        <v>Web, Mobile</v>
      </c>
      <c r="E57" s="7" t="str">
        <f>IFERROR(__xludf.DUMMYFUNCTION("""COMPUTED_VALUE"""),"Master Question bank")</f>
        <v>Master Question bank</v>
      </c>
      <c r="F57" s="7" t="str">
        <f>IFERROR(__xludf.DUMMYFUNCTION("""COMPUTED_VALUE"""),"Export Questions")</f>
        <v>Export Questions</v>
      </c>
      <c r="G57" s="7" t="str">
        <f>IFERROR(__xludf.DUMMYFUNCTION("""COMPUTED_VALUE"""),"M")</f>
        <v>M</v>
      </c>
      <c r="H57" s="7" t="str">
        <f>IFERROR(__xludf.DUMMYFUNCTION("""COMPUTED_VALUE"""),"Jaikishan")</f>
        <v>Jaikishan</v>
      </c>
      <c r="I57" s="7" t="str">
        <f>IFERROR(__xludf.DUMMYFUNCTION("""COMPUTED_VALUE"""),"Validation")</f>
        <v>Validation</v>
      </c>
      <c r="J57" s="7" t="str">
        <f>IFERROR(__xludf.DUMMYFUNCTION("""COMPUTED_VALUE"""),"")</f>
        <v/>
      </c>
      <c r="K57" s="7" t="str">
        <f>IFERROR(__xludf.DUMMYFUNCTION("""COMPUTED_VALUE"""),"Verify, ""Ok"" button when there is no question in the section.")</f>
        <v>Verify, "Ok" button when there is no question in the section.</v>
      </c>
      <c r="L57" s="7" t="str">
        <f>IFERROR(__xludf.DUMMYFUNCTION("""COMPUTED_VALUE"""),"1. Click on Section list action
2. Click on Export Questions
3. Click on ""OK"" button")</f>
        <v>1. Click on Section list action
2. Click on Export Questions
3. Click on "OK" button</v>
      </c>
      <c r="M57" s="7" t="str">
        <f>IFERROR(__xludf.DUMMYFUNCTION("""COMPUTED_VALUE"""),"Showing :
1. No result Found in list.
2. On Click ""Ok"" back to modify form.
")</f>
        <v>Showing :
1. No result Found in list.
2. On Click "Ok" back to modify form.
</v>
      </c>
      <c r="N57" s="7" t="str">
        <f>IFERROR(__xludf.DUMMYFUNCTION("""COMPUTED_VALUE"""),"")</f>
        <v/>
      </c>
      <c r="O57" s="7" t="str">
        <f>IFERROR(__xludf.DUMMYFUNCTION("""COMPUTED_VALUE"""),"1. No Result Found not showing.
2. Showing exception ""implode(): Invalid arguments passed""")</f>
        <v>1. No Result Found not showing.
2. Showing exception "implode(): Invalid arguments passed"</v>
      </c>
      <c r="P57" s="7" t="str">
        <f>IFERROR(__xludf.DUMMYFUNCTION("""COMPUTED_VALUE"""),"Fail")</f>
        <v>Fail</v>
      </c>
      <c r="Q57" s="7" t="str">
        <f>IFERROR(__xludf.DUMMYFUNCTION("""COMPUTED_VALUE"""),"Jaikishan")</f>
        <v>Jaikishan</v>
      </c>
      <c r="R57" s="8">
        <f>IFERROR(__xludf.DUMMYFUNCTION("""COMPUTED_VALUE"""),43825.0)</f>
        <v>43825</v>
      </c>
      <c r="S57" s="7" t="str">
        <f>IFERROR(__xludf.DUMMYFUNCTION("""COMPUTED_VALUE"""),"TR2019W52 - Jaikishan")</f>
        <v>TR2019W52 - Jaikishan</v>
      </c>
      <c r="T57" s="9" t="s">
        <v>10</v>
      </c>
      <c r="U57" s="7"/>
      <c r="V57" s="9" t="s">
        <v>11</v>
      </c>
      <c r="W57" s="7"/>
      <c r="X57" s="7"/>
      <c r="Y57" s="7"/>
      <c r="Z57" s="7"/>
    </row>
    <row r="58">
      <c r="A58" s="7" t="str">
        <f>IFERROR(__xludf.DUMMYFUNCTION("""COMPUTED_VALUE"""),"TCM_dKosh_General_SMF1_036_152")</f>
        <v>TCM_dKosh_General_SMF1_036_152</v>
      </c>
      <c r="B58" s="7" t="str">
        <f>IFERROR(__xludf.DUMMYFUNCTION("""COMPUTED_VALUE"""),"TP_dKosh_General_SMF1_036")</f>
        <v>TP_dKosh_General_SMF1_036</v>
      </c>
      <c r="C58" s="7">
        <f>IFERROR(__xludf.DUMMYFUNCTION("""COMPUTED_VALUE"""),152.0)</f>
        <v>152</v>
      </c>
      <c r="D58" s="7" t="str">
        <f>IFERROR(__xludf.DUMMYFUNCTION("""COMPUTED_VALUE"""),"Web, Mobile")</f>
        <v>Web, Mobile</v>
      </c>
      <c r="E58" s="7" t="str">
        <f>IFERROR(__xludf.DUMMYFUNCTION("""COMPUTED_VALUE"""),"Master Question bank")</f>
        <v>Master Question bank</v>
      </c>
      <c r="F58" s="7" t="str">
        <f>IFERROR(__xludf.DUMMYFUNCTION("""COMPUTED_VALUE"""),"Export Questions")</f>
        <v>Export Questions</v>
      </c>
      <c r="G58" s="7" t="str">
        <f>IFERROR(__xludf.DUMMYFUNCTION("""COMPUTED_VALUE"""),"M")</f>
        <v>M</v>
      </c>
      <c r="H58" s="7" t="str">
        <f>IFERROR(__xludf.DUMMYFUNCTION("""COMPUTED_VALUE"""),"Jaikishan")</f>
        <v>Jaikishan</v>
      </c>
      <c r="I58" s="7" t="str">
        <f>IFERROR(__xludf.DUMMYFUNCTION("""COMPUTED_VALUE"""),"UI")</f>
        <v>UI</v>
      </c>
      <c r="J58" s="7" t="str">
        <f>IFERROR(__xludf.DUMMYFUNCTION("""COMPUTED_VALUE"""),"")</f>
        <v/>
      </c>
      <c r="K58" s="7" t="str">
        <f>IFERROR(__xludf.DUMMYFUNCTION("""COMPUTED_VALUE"""),"Verfiy, Question UI on export question list.")</f>
        <v>Verfiy, Question UI on export question list.</v>
      </c>
      <c r="L58" s="7" t="str">
        <f>IFERROR(__xludf.DUMMYFUNCTION("""COMPUTED_VALUE"""),"")</f>
        <v/>
      </c>
      <c r="M58" s="7" t="str">
        <f>IFERROR(__xludf.DUMMYFUNCTION("""COMPUTED_VALUE"""),"1. Question_short_name
     Question Type :1 option
2. Question_short_name
     Question Type
")</f>
        <v>1. Question_short_name
     Question Type :1 option
2. Question_short_name
     Question Type
</v>
      </c>
      <c r="N58" s="7" t="str">
        <f>IFERROR(__xludf.DUMMYFUNCTION("""COMPUTED_VALUE"""),"1. job_description
    Drop Down: 2 options")</f>
        <v>1. job_description
    Drop Down: 2 options</v>
      </c>
      <c r="O58" s="7" t="str">
        <f>IFERROR(__xludf.DUMMYFUNCTION("""COMPUTED_VALUE"""),"1. Not same as expected.
2. Option only showing for user defined list not for others.")</f>
        <v>1. Not same as expected.
2. Option only showing for user defined list not for others.</v>
      </c>
      <c r="P58" s="7" t="str">
        <f>IFERROR(__xludf.DUMMYFUNCTION("""COMPUTED_VALUE"""),"Fail")</f>
        <v>Fail</v>
      </c>
      <c r="Q58" s="7" t="str">
        <f>IFERROR(__xludf.DUMMYFUNCTION("""COMPUTED_VALUE"""),"Jaikishan")</f>
        <v>Jaikishan</v>
      </c>
      <c r="R58" s="8">
        <f>IFERROR(__xludf.DUMMYFUNCTION("""COMPUTED_VALUE"""),43825.0)</f>
        <v>43825</v>
      </c>
      <c r="S58" s="7" t="str">
        <f>IFERROR(__xludf.DUMMYFUNCTION("""COMPUTED_VALUE"""),"TR2019W52 - Jaikishan")</f>
        <v>TR2019W52 - Jaikishan</v>
      </c>
      <c r="T58" s="7"/>
      <c r="U58" s="9" t="s">
        <v>12</v>
      </c>
      <c r="V58" s="9" t="s">
        <v>11</v>
      </c>
      <c r="W58" s="7"/>
      <c r="X58" s="7"/>
      <c r="Y58" s="7"/>
      <c r="Z58" s="7"/>
    </row>
    <row r="59">
      <c r="A59" s="7" t="str">
        <f>IFERROR(__xludf.DUMMYFUNCTION("""COMPUTED_VALUE"""),"TCM_dKosh_General_SMF1_036_153")</f>
        <v>TCM_dKosh_General_SMF1_036_153</v>
      </c>
      <c r="B59" s="7" t="str">
        <f>IFERROR(__xludf.DUMMYFUNCTION("""COMPUTED_VALUE"""),"TP_dKosh_General_SMF1_036")</f>
        <v>TP_dKosh_General_SMF1_036</v>
      </c>
      <c r="C59" s="7">
        <f>IFERROR(__xludf.DUMMYFUNCTION("""COMPUTED_VALUE"""),153.0)</f>
        <v>153</v>
      </c>
      <c r="D59" s="7" t="str">
        <f>IFERROR(__xludf.DUMMYFUNCTION("""COMPUTED_VALUE"""),"Web, Mobile")</f>
        <v>Web, Mobile</v>
      </c>
      <c r="E59" s="7" t="str">
        <f>IFERROR(__xludf.DUMMYFUNCTION("""COMPUTED_VALUE"""),"Master Question bank")</f>
        <v>Master Question bank</v>
      </c>
      <c r="F59" s="7" t="str">
        <f>IFERROR(__xludf.DUMMYFUNCTION("""COMPUTED_VALUE"""),"Export Questions")</f>
        <v>Export Questions</v>
      </c>
      <c r="G59" s="7" t="str">
        <f>IFERROR(__xludf.DUMMYFUNCTION("""COMPUTED_VALUE"""),"M")</f>
        <v>M</v>
      </c>
      <c r="H59" s="7" t="str">
        <f>IFERROR(__xludf.DUMMYFUNCTION("""COMPUTED_VALUE"""),"Jaikishan")</f>
        <v>Jaikishan</v>
      </c>
      <c r="I59" s="7" t="str">
        <f>IFERROR(__xludf.DUMMYFUNCTION("""COMPUTED_VALUE"""),"UI")</f>
        <v>UI</v>
      </c>
      <c r="J59" s="7" t="str">
        <f>IFERROR(__xludf.DUMMYFUNCTION("""COMPUTED_VALUE"""),"")</f>
        <v/>
      </c>
      <c r="K59" s="7" t="str">
        <f>IFERROR(__xludf.DUMMYFUNCTION("""COMPUTED_VALUE"""),"Verify, Select all check box in Export question list.")</f>
        <v>Verify, Select all check box in Export question list.</v>
      </c>
      <c r="L59" s="7" t="str">
        <f>IFERROR(__xludf.DUMMYFUNCTION("""COMPUTED_VALUE"""),"")</f>
        <v/>
      </c>
      <c r="M59" s="7" t="str">
        <f>IFERROR(__xludf.DUMMYFUNCTION("""COMPUTED_VALUE"""),"Label :Select all
When click, then all question should be selected.
")</f>
        <v>Label :Select all
When click, then all question should be selected.
</v>
      </c>
      <c r="N59" s="7" t="str">
        <f>IFERROR(__xludf.DUMMYFUNCTION("""COMPUTED_VALUE"""),"")</f>
        <v/>
      </c>
      <c r="O59" s="7" t="str">
        <f>IFERROR(__xludf.DUMMYFUNCTION("""COMPUTED_VALUE"""),"Label not matched ""Select All"" showing.
""A"" should be small.
")</f>
        <v>Label not matched "Select All" showing.
"A" should be small.
</v>
      </c>
      <c r="P59" s="7" t="str">
        <f>IFERROR(__xludf.DUMMYFUNCTION("""COMPUTED_VALUE"""),"Fail")</f>
        <v>Fail</v>
      </c>
      <c r="Q59" s="7" t="str">
        <f>IFERROR(__xludf.DUMMYFUNCTION("""COMPUTED_VALUE"""),"Jaikishan")</f>
        <v>Jaikishan</v>
      </c>
      <c r="R59" s="8">
        <f>IFERROR(__xludf.DUMMYFUNCTION("""COMPUTED_VALUE"""),43825.0)</f>
        <v>43825</v>
      </c>
      <c r="S59" s="7" t="str">
        <f>IFERROR(__xludf.DUMMYFUNCTION("""COMPUTED_VALUE"""),"TR2019W52 - Jaikishan")</f>
        <v>TR2019W52 - Jaikishan</v>
      </c>
      <c r="T59" s="9" t="s">
        <v>10</v>
      </c>
      <c r="U59" s="7"/>
      <c r="V59" s="9" t="s">
        <v>11</v>
      </c>
      <c r="W59" s="7"/>
      <c r="X59" s="7"/>
      <c r="Y59" s="7"/>
      <c r="Z59" s="7"/>
    </row>
    <row r="60">
      <c r="A60" s="7" t="str">
        <f>IFERROR(__xludf.DUMMYFUNCTION("""COMPUTED_VALUE"""),"TCM_dKosh_General_SMF1_036_157")</f>
        <v>TCM_dKosh_General_SMF1_036_157</v>
      </c>
      <c r="B60" s="7" t="str">
        <f>IFERROR(__xludf.DUMMYFUNCTION("""COMPUTED_VALUE"""),"TP_dKosh_General_SMF1_036")</f>
        <v>TP_dKosh_General_SMF1_036</v>
      </c>
      <c r="C60" s="7">
        <f>IFERROR(__xludf.DUMMYFUNCTION("""COMPUTED_VALUE"""),157.0)</f>
        <v>157</v>
      </c>
      <c r="D60" s="7" t="str">
        <f>IFERROR(__xludf.DUMMYFUNCTION("""COMPUTED_VALUE"""),"Web, Mobile")</f>
        <v>Web, Mobile</v>
      </c>
      <c r="E60" s="7" t="str">
        <f>IFERROR(__xludf.DUMMYFUNCTION("""COMPUTED_VALUE"""),"Master Question bank")</f>
        <v>Master Question bank</v>
      </c>
      <c r="F60" s="7" t="str">
        <f>IFERROR(__xludf.DUMMYFUNCTION("""COMPUTED_VALUE"""),"Import Questions")</f>
        <v>Import Questions</v>
      </c>
      <c r="G60" s="7" t="str">
        <f>IFERROR(__xludf.DUMMYFUNCTION("""COMPUTED_VALUE"""),"M")</f>
        <v>M</v>
      </c>
      <c r="H60" s="7" t="str">
        <f>IFERROR(__xludf.DUMMYFUNCTION("""COMPUTED_VALUE"""),"Jaikishan")</f>
        <v>Jaikishan</v>
      </c>
      <c r="I60" s="7" t="str">
        <f>IFERROR(__xludf.DUMMYFUNCTION("""COMPUTED_VALUE"""),"Validation")</f>
        <v>Validation</v>
      </c>
      <c r="J60" s="7" t="str">
        <f>IFERROR(__xludf.DUMMYFUNCTION("""COMPUTED_VALUE"""),"")</f>
        <v/>
      </c>
      <c r="K60" s="7" t="str">
        <f>IFERROR(__xludf.DUMMYFUNCTION("""COMPUTED_VALUE"""),"Verify, Default radio option selected.")</f>
        <v>Verify, Default radio option selected.</v>
      </c>
      <c r="L60" s="7" t="str">
        <f>IFERROR(__xludf.DUMMYFUNCTION("""COMPUTED_VALUE"""),"1. Click on Import Questions
2. Check default radio selected.")</f>
        <v>1. Click on Import Questions
2. Check default radio selected.</v>
      </c>
      <c r="M60" s="7" t="str">
        <f>IFERROR(__xludf.DUMMYFUNCTION("""COMPUTED_VALUE"""),"??")</f>
        <v>??</v>
      </c>
      <c r="N60" s="7" t="str">
        <f>IFERROR(__xludf.DUMMYFUNCTION("""COMPUTED_VALUE"""),"")</f>
        <v/>
      </c>
      <c r="O60" s="7" t="str">
        <f>IFERROR(__xludf.DUMMYFUNCTION("""COMPUTED_VALUE"""),"Import From question bank is selected bydefault.")</f>
        <v>Import From question bank is selected bydefault.</v>
      </c>
      <c r="P60" s="7" t="str">
        <f>IFERROR(__xludf.DUMMYFUNCTION("""COMPUTED_VALUE"""),"?")</f>
        <v>?</v>
      </c>
      <c r="Q60" s="7" t="str">
        <f>IFERROR(__xludf.DUMMYFUNCTION("""COMPUTED_VALUE"""),"Jaikishan")</f>
        <v>Jaikishan</v>
      </c>
      <c r="R60" s="8">
        <f>IFERROR(__xludf.DUMMYFUNCTION("""COMPUTED_VALUE"""),43825.0)</f>
        <v>43825</v>
      </c>
      <c r="S60" s="7" t="str">
        <f>IFERROR(__xludf.DUMMYFUNCTION("""COMPUTED_VALUE"""),"TR2019W52 - Jaikishan")</f>
        <v>TR2019W52 - Jaikishan</v>
      </c>
      <c r="T60" s="7"/>
      <c r="U60" s="9" t="s">
        <v>9</v>
      </c>
      <c r="V60" s="7"/>
      <c r="W60" s="7"/>
      <c r="X60" s="7"/>
      <c r="Y60" s="7"/>
      <c r="Z60" s="7"/>
    </row>
    <row r="61">
      <c r="A61" s="7" t="str">
        <f>IFERROR(__xludf.DUMMYFUNCTION("""COMPUTED_VALUE"""),"TCM_dKosh_General_SMF1_036_159")</f>
        <v>TCM_dKosh_General_SMF1_036_159</v>
      </c>
      <c r="B61" s="7" t="str">
        <f>IFERROR(__xludf.DUMMYFUNCTION("""COMPUTED_VALUE"""),"TP_dKosh_General_SMF1_036")</f>
        <v>TP_dKosh_General_SMF1_036</v>
      </c>
      <c r="C61" s="7">
        <f>IFERROR(__xludf.DUMMYFUNCTION("""COMPUTED_VALUE"""),159.0)</f>
        <v>159</v>
      </c>
      <c r="D61" s="7" t="str">
        <f>IFERROR(__xludf.DUMMYFUNCTION("""COMPUTED_VALUE"""),"Web, Mobile")</f>
        <v>Web, Mobile</v>
      </c>
      <c r="E61" s="7" t="str">
        <f>IFERROR(__xludf.DUMMYFUNCTION("""COMPUTED_VALUE"""),"Master Question bank")</f>
        <v>Master Question bank</v>
      </c>
      <c r="F61" s="7" t="str">
        <f>IFERROR(__xludf.DUMMYFUNCTION("""COMPUTED_VALUE"""),"Import Questions")</f>
        <v>Import Questions</v>
      </c>
      <c r="G61" s="7" t="str">
        <f>IFERROR(__xludf.DUMMYFUNCTION("""COMPUTED_VALUE"""),"M")</f>
        <v>M</v>
      </c>
      <c r="H61" s="7" t="str">
        <f>IFERROR(__xludf.DUMMYFUNCTION("""COMPUTED_VALUE"""),"Jaikishan")</f>
        <v>Jaikishan</v>
      </c>
      <c r="I61" s="7" t="str">
        <f>IFERROR(__xludf.DUMMYFUNCTION("""COMPUTED_VALUE"""),"Validation")</f>
        <v>Validation</v>
      </c>
      <c r="J61" s="7" t="str">
        <f>IFERROR(__xludf.DUMMYFUNCTION("""COMPUTED_VALUE"""),"")</f>
        <v/>
      </c>
      <c r="K61" s="7" t="str">
        <f>IFERROR(__xludf.DUMMYFUNCTION("""COMPUTED_VALUE"""),"Verify, Form drodown in ""Import from another form""")</f>
        <v>Verify, Form drodown in "Import from another form"</v>
      </c>
      <c r="L61" s="7" t="str">
        <f>IFERROR(__xludf.DUMMYFUNCTION("""COMPUTED_VALUE"""),"1. Click on Import Questions
2. Click on Import from another form.
3. Check form dropdown list.")</f>
        <v>1. Click on Import Questions
2. Click on Import from another form.
3. Check form dropdown list.</v>
      </c>
      <c r="M61" s="7" t="str">
        <f>IFERROR(__xludf.DUMMYFUNCTION("""COMPUTED_VALUE"""),"All form Name should be displayed in dropdown list.")</f>
        <v>All form Name should be displayed in dropdown list.</v>
      </c>
      <c r="N61" s="7" t="str">
        <f>IFERROR(__xludf.DUMMYFUNCTION("""COMPUTED_VALUE"""),"New status form also showing?????")</f>
        <v>New status form also showing?????</v>
      </c>
      <c r="O61" s="7" t="str">
        <f>IFERROR(__xludf.DUMMYFUNCTION("""COMPUTED_VALUE"""),"All form displayed, whether it is shared or in any status.")</f>
        <v>All form displayed, whether it is shared or in any status.</v>
      </c>
      <c r="P61" s="7" t="str">
        <f>IFERROR(__xludf.DUMMYFUNCTION("""COMPUTED_VALUE"""),"?")</f>
        <v>?</v>
      </c>
      <c r="Q61" s="7" t="str">
        <f>IFERROR(__xludf.DUMMYFUNCTION("""COMPUTED_VALUE"""),"Jaikishan")</f>
        <v>Jaikishan</v>
      </c>
      <c r="R61" s="8">
        <f>IFERROR(__xludf.DUMMYFUNCTION("""COMPUTED_VALUE"""),43825.0)</f>
        <v>43825</v>
      </c>
      <c r="S61" s="7" t="str">
        <f>IFERROR(__xludf.DUMMYFUNCTION("""COMPUTED_VALUE"""),"TR2019W52 - Jaikishan")</f>
        <v>TR2019W52 - Jaikishan</v>
      </c>
      <c r="T61" s="9" t="s">
        <v>10</v>
      </c>
      <c r="U61" s="7"/>
      <c r="V61" s="9" t="s">
        <v>11</v>
      </c>
      <c r="W61" s="7"/>
      <c r="X61" s="7"/>
      <c r="Y61" s="7"/>
      <c r="Z61" s="7"/>
    </row>
    <row r="62">
      <c r="A62" s="7" t="str">
        <f>IFERROR(__xludf.DUMMYFUNCTION("""COMPUTED_VALUE"""),"TC_dKosh_General_SMF1_036_159")</f>
        <v>TC_dKosh_General_SMF1_036_159</v>
      </c>
      <c r="B62" s="7" t="str">
        <f>IFERROR(__xludf.DUMMYFUNCTION("""COMPUTED_VALUE"""),"TP_dKosh_General_SMF1_036")</f>
        <v>TP_dKosh_General_SMF1_036</v>
      </c>
      <c r="C62" s="7">
        <f>IFERROR(__xludf.DUMMYFUNCTION("""COMPUTED_VALUE"""),159.0)</f>
        <v>159</v>
      </c>
      <c r="D62" s="7" t="str">
        <f>IFERROR(__xludf.DUMMYFUNCTION("""COMPUTED_VALUE"""),"Web, Mobile")</f>
        <v>Web, Mobile</v>
      </c>
      <c r="E62" s="7" t="str">
        <f>IFERROR(__xludf.DUMMYFUNCTION("""COMPUTED_VALUE"""),"Master Question bank")</f>
        <v>Master Question bank</v>
      </c>
      <c r="F62" s="7" t="str">
        <f>IFERROR(__xludf.DUMMYFUNCTION("""COMPUTED_VALUE"""),"Import Questions")</f>
        <v>Import Questions</v>
      </c>
      <c r="G62" s="7" t="str">
        <f>IFERROR(__xludf.DUMMYFUNCTION("""COMPUTED_VALUE"""),"")</f>
        <v/>
      </c>
      <c r="H62" s="7" t="str">
        <f>IFERROR(__xludf.DUMMYFUNCTION("""COMPUTED_VALUE"""),"")</f>
        <v/>
      </c>
      <c r="I62" s="7" t="str">
        <f>IFERROR(__xludf.DUMMYFUNCTION("""COMPUTED_VALUE"""),"")</f>
        <v/>
      </c>
      <c r="J62" s="7" t="str">
        <f>IFERROR(__xludf.DUMMYFUNCTION("""COMPUTED_VALUE"""),"")</f>
        <v/>
      </c>
      <c r="K62" s="7" t="str">
        <f>IFERROR(__xludf.DUMMYFUNCTION("""COMPUTED_VALUE"""),"Verify, Form Dropdown when share form and remove shared user.")</f>
        <v>Verify, Form Dropdown when share form and remove shared user.</v>
      </c>
      <c r="L62" s="7" t="str">
        <f>IFERROR(__xludf.DUMMYFUNCTION("""COMPUTED_VALUE"""),"")</f>
        <v/>
      </c>
      <c r="M62" s="7" t="str">
        <f>IFERROR(__xludf.DUMMYFUNCTION("""COMPUTED_VALUE"""),"Form should be removed from form list dropdown.")</f>
        <v>Form should be removed from form list dropdown.</v>
      </c>
      <c r="N62" s="7" t="str">
        <f>IFERROR(__xludf.DUMMYFUNCTION("""COMPUTED_VALUE"""),"")</f>
        <v/>
      </c>
      <c r="O62" s="7" t="str">
        <f>IFERROR(__xludf.DUMMYFUNCTION("""COMPUTED_VALUE"""),"int_delete_type check is missing, removed user form also showing.")</f>
        <v>int_delete_type check is missing, removed user form also showing.</v>
      </c>
      <c r="P62" s="7" t="str">
        <f>IFERROR(__xludf.DUMMYFUNCTION("""COMPUTED_VALUE"""),"Fail")</f>
        <v>Fail</v>
      </c>
      <c r="Q62" s="7" t="str">
        <f>IFERROR(__xludf.DUMMYFUNCTION("""COMPUTED_VALUE"""),"Jaikishan")</f>
        <v>Jaikishan</v>
      </c>
      <c r="R62" s="8">
        <f>IFERROR(__xludf.DUMMYFUNCTION("""COMPUTED_VALUE"""),43825.0)</f>
        <v>43825</v>
      </c>
      <c r="S62" s="7" t="str">
        <f>IFERROR(__xludf.DUMMYFUNCTION("""COMPUTED_VALUE"""),"TR2019W52 - Jaikishan")</f>
        <v>TR2019W52 - Jaikishan</v>
      </c>
      <c r="T62" s="9" t="s">
        <v>10</v>
      </c>
      <c r="U62" s="7"/>
      <c r="V62" s="9" t="s">
        <v>13</v>
      </c>
      <c r="W62" s="7"/>
      <c r="X62" s="7"/>
      <c r="Y62" s="7"/>
      <c r="Z62" s="7"/>
    </row>
    <row r="63">
      <c r="A63" s="7" t="str">
        <f>IFERROR(__xludf.DUMMYFUNCTION("""COMPUTED_VALUE"""),"TCM_dKosh_General_SMF1_036_160")</f>
        <v>TCM_dKosh_General_SMF1_036_160</v>
      </c>
      <c r="B63" s="7" t="str">
        <f>IFERROR(__xludf.DUMMYFUNCTION("""COMPUTED_VALUE"""),"TP_dKosh_General_SMF1_036")</f>
        <v>TP_dKosh_General_SMF1_036</v>
      </c>
      <c r="C63" s="7">
        <f>IFERROR(__xludf.DUMMYFUNCTION("""COMPUTED_VALUE"""),160.0)</f>
        <v>160</v>
      </c>
      <c r="D63" s="7" t="str">
        <f>IFERROR(__xludf.DUMMYFUNCTION("""COMPUTED_VALUE"""),"Web, Mobile")</f>
        <v>Web, Mobile</v>
      </c>
      <c r="E63" s="7" t="str">
        <f>IFERROR(__xludf.DUMMYFUNCTION("""COMPUTED_VALUE"""),"Master Question bank")</f>
        <v>Master Question bank</v>
      </c>
      <c r="F63" s="7" t="str">
        <f>IFERROR(__xludf.DUMMYFUNCTION("""COMPUTED_VALUE"""),"Import Questions")</f>
        <v>Import Questions</v>
      </c>
      <c r="G63" s="7" t="str">
        <f>IFERROR(__xludf.DUMMYFUNCTION("""COMPUTED_VALUE"""),"M")</f>
        <v>M</v>
      </c>
      <c r="H63" s="7" t="str">
        <f>IFERROR(__xludf.DUMMYFUNCTION("""COMPUTED_VALUE"""),"Jaikishan")</f>
        <v>Jaikishan</v>
      </c>
      <c r="I63" s="7" t="str">
        <f>IFERROR(__xludf.DUMMYFUNCTION("""COMPUTED_VALUE"""),"Validation")</f>
        <v>Validation</v>
      </c>
      <c r="J63" s="7" t="str">
        <f>IFERROR(__xludf.DUMMYFUNCTION("""COMPUTED_VALUE"""),"")</f>
        <v/>
      </c>
      <c r="K63" s="7" t="str">
        <f>IFERROR(__xludf.DUMMYFUNCTION("""COMPUTED_VALUE"""),"Verify, Current form in Form drodown list.")</f>
        <v>Verify, Current form in Form drodown list.</v>
      </c>
      <c r="L63" s="7" t="str">
        <f>IFERROR(__xludf.DUMMYFUNCTION("""COMPUTED_VALUE"""),"")</f>
        <v/>
      </c>
      <c r="M63" s="7" t="str">
        <f>IFERROR(__xludf.DUMMYFUNCTION("""COMPUTED_VALUE"""),"Current Form should not show in form list.")</f>
        <v>Current Form should not show in form list.</v>
      </c>
      <c r="N63" s="7" t="str">
        <f>IFERROR(__xludf.DUMMYFUNCTION("""COMPUTED_VALUE"""),"")</f>
        <v/>
      </c>
      <c r="O63" s="7" t="str">
        <f>IFERROR(__xludf.DUMMYFUNCTION("""COMPUTED_VALUE"""),"Current Form also showing in list.")</f>
        <v>Current Form also showing in list.</v>
      </c>
      <c r="P63" s="7" t="str">
        <f>IFERROR(__xludf.DUMMYFUNCTION("""COMPUTED_VALUE"""),"Fail")</f>
        <v>Fail</v>
      </c>
      <c r="Q63" s="7" t="str">
        <f>IFERROR(__xludf.DUMMYFUNCTION("""COMPUTED_VALUE"""),"Jaikishan")</f>
        <v>Jaikishan</v>
      </c>
      <c r="R63" s="8">
        <f>IFERROR(__xludf.DUMMYFUNCTION("""COMPUTED_VALUE"""),43825.0)</f>
        <v>43825</v>
      </c>
      <c r="S63" s="7" t="str">
        <f>IFERROR(__xludf.DUMMYFUNCTION("""COMPUTED_VALUE"""),"TR2019W52 - Jaikishan")</f>
        <v>TR2019W52 - Jaikishan</v>
      </c>
      <c r="T63" s="9" t="s">
        <v>10</v>
      </c>
      <c r="U63" s="7"/>
      <c r="V63" s="9" t="s">
        <v>11</v>
      </c>
      <c r="W63" s="7"/>
      <c r="X63" s="7"/>
      <c r="Y63" s="7"/>
      <c r="Z63" s="7"/>
    </row>
    <row r="64">
      <c r="A64" s="7" t="str">
        <f>IFERROR(__xludf.DUMMYFUNCTION("""COMPUTED_VALUE"""),"TCM_dKosh_General_SMF1_036_161")</f>
        <v>TCM_dKosh_General_SMF1_036_161</v>
      </c>
      <c r="B64" s="7" t="str">
        <f>IFERROR(__xludf.DUMMYFUNCTION("""COMPUTED_VALUE"""),"TP_dKosh_General_SMF1_036")</f>
        <v>TP_dKosh_General_SMF1_036</v>
      </c>
      <c r="C64" s="7">
        <f>IFERROR(__xludf.DUMMYFUNCTION("""COMPUTED_VALUE"""),161.0)</f>
        <v>161</v>
      </c>
      <c r="D64" s="7" t="str">
        <f>IFERROR(__xludf.DUMMYFUNCTION("""COMPUTED_VALUE"""),"Web, Mobile")</f>
        <v>Web, Mobile</v>
      </c>
      <c r="E64" s="7" t="str">
        <f>IFERROR(__xludf.DUMMYFUNCTION("""COMPUTED_VALUE"""),"Master Question bank")</f>
        <v>Master Question bank</v>
      </c>
      <c r="F64" s="7" t="str">
        <f>IFERROR(__xludf.DUMMYFUNCTION("""COMPUTED_VALUE"""),"Import Questions")</f>
        <v>Import Questions</v>
      </c>
      <c r="G64" s="7" t="str">
        <f>IFERROR(__xludf.DUMMYFUNCTION("""COMPUTED_VALUE"""),"M")</f>
        <v>M</v>
      </c>
      <c r="H64" s="7" t="str">
        <f>IFERROR(__xludf.DUMMYFUNCTION("""COMPUTED_VALUE"""),"Jaikishan")</f>
        <v>Jaikishan</v>
      </c>
      <c r="I64" s="7" t="str">
        <f>IFERROR(__xludf.DUMMYFUNCTION("""COMPUTED_VALUE"""),"Intergration")</f>
        <v>Intergration</v>
      </c>
      <c r="J64" s="7" t="str">
        <f>IFERROR(__xludf.DUMMYFUNCTION("""COMPUTED_VALUE"""),"")</f>
        <v/>
      </c>
      <c r="K64" s="7" t="str">
        <f>IFERROR(__xludf.DUMMYFUNCTION("""COMPUTED_VALUE"""),"Verify, which form showing in form dropdown list??")</f>
        <v>Verify, which form showing in form dropdown list??</v>
      </c>
      <c r="L64" s="7" t="str">
        <f>IFERROR(__xludf.DUMMYFUNCTION("""COMPUTED_VALUE"""),"")</f>
        <v/>
      </c>
      <c r="M64" s="7" t="str">
        <f>IFERROR(__xludf.DUMMYFUNCTION("""COMPUTED_VALUE"""),"1. Form which is created by owner should show in list, Except form status New,Closed.
2. Share Form with Edit permission should show in list.
3. Share Form with Analyse permission should not show.
")</f>
        <v>1. Form which is created by owner should show in list, Except form status New,Closed.
2. Share Form with Edit permission should show in list.
3. Share Form with Analyse permission should not show.
</v>
      </c>
      <c r="N64" s="7" t="str">
        <f>IFERROR(__xludf.DUMMYFUNCTION("""COMPUTED_VALUE"""),"")</f>
        <v/>
      </c>
      <c r="O64" s="7" t="str">
        <f>IFERROR(__xludf.DUMMYFUNCTION("""COMPUTED_VALUE"""),"1. New status form also showing in list.
2. Expired form also showing in list")</f>
        <v>1. New status form also showing in list.
2. Expired form also showing in list</v>
      </c>
      <c r="P64" s="7" t="str">
        <f>IFERROR(__xludf.DUMMYFUNCTION("""COMPUTED_VALUE"""),"Fail")</f>
        <v>Fail</v>
      </c>
      <c r="Q64" s="7" t="str">
        <f>IFERROR(__xludf.DUMMYFUNCTION("""COMPUTED_VALUE"""),"Jaikishan")</f>
        <v>Jaikishan</v>
      </c>
      <c r="R64" s="8">
        <f>IFERROR(__xludf.DUMMYFUNCTION("""COMPUTED_VALUE"""),43825.0)</f>
        <v>43825</v>
      </c>
      <c r="S64" s="7" t="str">
        <f>IFERROR(__xludf.DUMMYFUNCTION("""COMPUTED_VALUE"""),"TR2019W52 - Jaikishan")</f>
        <v>TR2019W52 - Jaikishan</v>
      </c>
      <c r="T64" s="9" t="s">
        <v>10</v>
      </c>
      <c r="U64" s="9" t="s">
        <v>8</v>
      </c>
      <c r="V64" s="9" t="s">
        <v>14</v>
      </c>
      <c r="W64" s="7"/>
      <c r="X64" s="7"/>
      <c r="Y64" s="7"/>
      <c r="Z64" s="7"/>
    </row>
    <row r="65">
      <c r="A65" s="7" t="str">
        <f>IFERROR(__xludf.DUMMYFUNCTION("""COMPUTED_VALUE"""),"TCM_dKosh_General_SMF1_036_168")</f>
        <v>TCM_dKosh_General_SMF1_036_168</v>
      </c>
      <c r="B65" s="7" t="str">
        <f>IFERROR(__xludf.DUMMYFUNCTION("""COMPUTED_VALUE"""),"TP_dKosh_General_SMF1_036")</f>
        <v>TP_dKosh_General_SMF1_036</v>
      </c>
      <c r="C65" s="7">
        <f>IFERROR(__xludf.DUMMYFUNCTION("""COMPUTED_VALUE"""),168.0)</f>
        <v>168</v>
      </c>
      <c r="D65" s="7" t="str">
        <f>IFERROR(__xludf.DUMMYFUNCTION("""COMPUTED_VALUE"""),"Web, Mobile")</f>
        <v>Web, Mobile</v>
      </c>
      <c r="E65" s="7" t="str">
        <f>IFERROR(__xludf.DUMMYFUNCTION("""COMPUTED_VALUE"""),"Master Question bank")</f>
        <v>Master Question bank</v>
      </c>
      <c r="F65" s="7" t="str">
        <f>IFERROR(__xludf.DUMMYFUNCTION("""COMPUTED_VALUE"""),"Import Questions")</f>
        <v>Import Questions</v>
      </c>
      <c r="G65" s="7" t="str">
        <f>IFERROR(__xludf.DUMMYFUNCTION("""COMPUTED_VALUE"""),"M")</f>
        <v>M</v>
      </c>
      <c r="H65" s="7" t="str">
        <f>IFERROR(__xludf.DUMMYFUNCTION("""COMPUTED_VALUE"""),"Jaikishan")</f>
        <v>Jaikishan</v>
      </c>
      <c r="I65" s="7" t="str">
        <f>IFERROR(__xludf.DUMMYFUNCTION("""COMPUTED_VALUE"""),"Functional")</f>
        <v>Functional</v>
      </c>
      <c r="J65" s="7" t="str">
        <f>IFERROR(__xludf.DUMMYFUNCTION("""COMPUTED_VALUE"""),"")</f>
        <v/>
      </c>
      <c r="K65" s="7" t="str">
        <f>IFERROR(__xludf.DUMMYFUNCTION("""COMPUTED_VALUE"""),"Verify, Question list changes when user select any question and then change section/Form")</f>
        <v>Verify, Question list changes when user select any question and then change section/Form</v>
      </c>
      <c r="L65" s="7" t="str">
        <f>IFERROR(__xludf.DUMMYFUNCTION("""COMPUTED_VALUE"""),"")</f>
        <v/>
      </c>
      <c r="M65" s="7" t="str">
        <f>IFERROR(__xludf.DUMMYFUNCTION("""COMPUTED_VALUE"""),"1. Selected question unmarked automatically, also not save in DB.
2. Question related to selected section should be show in list.")</f>
        <v>1. Selected question unmarked automatically, also not save in DB.
2. Question related to selected section should be show in list.</v>
      </c>
      <c r="N65" s="7" t="str">
        <f>IFERROR(__xludf.DUMMYFUNCTION("""COMPUTED_VALUE"""),"")</f>
        <v/>
      </c>
      <c r="O65" s="7" t="str">
        <f>IFERROR(__xludf.DUMMYFUNCTION("""COMPUTED_VALUE"""),"1 .Question not hide when change form.
")</f>
        <v>1 .Question not hide when change form.
</v>
      </c>
      <c r="P65" s="7" t="str">
        <f>IFERROR(__xludf.DUMMYFUNCTION("""COMPUTED_VALUE"""),"Fail")</f>
        <v>Fail</v>
      </c>
      <c r="Q65" s="7" t="str">
        <f>IFERROR(__xludf.DUMMYFUNCTION("""COMPUTED_VALUE"""),"Jaikishan")</f>
        <v>Jaikishan</v>
      </c>
      <c r="R65" s="8">
        <f>IFERROR(__xludf.DUMMYFUNCTION("""COMPUTED_VALUE"""),43825.0)</f>
        <v>43825</v>
      </c>
      <c r="S65" s="7" t="str">
        <f>IFERROR(__xludf.DUMMYFUNCTION("""COMPUTED_VALUE"""),"TR2019W52 - Jaikishan")</f>
        <v>TR2019W52 - Jaikishan</v>
      </c>
      <c r="T65" s="9" t="s">
        <v>10</v>
      </c>
      <c r="U65" s="9" t="s">
        <v>15</v>
      </c>
      <c r="V65" s="9" t="s">
        <v>11</v>
      </c>
      <c r="W65" s="7"/>
      <c r="X65" s="7"/>
      <c r="Y65" s="7"/>
      <c r="Z65" s="7"/>
    </row>
    <row r="66">
      <c r="A66" s="7" t="str">
        <f>IFERROR(__xludf.DUMMYFUNCTION("""COMPUTED_VALUE"""),"TCM_dKosh_General_SMF1_036_169")</f>
        <v>TCM_dKosh_General_SMF1_036_169</v>
      </c>
      <c r="B66" s="7" t="str">
        <f>IFERROR(__xludf.DUMMYFUNCTION("""COMPUTED_VALUE"""),"TP_dKosh_General_SMF1_036")</f>
        <v>TP_dKosh_General_SMF1_036</v>
      </c>
      <c r="C66" s="7">
        <f>IFERROR(__xludf.DUMMYFUNCTION("""COMPUTED_VALUE"""),169.0)</f>
        <v>169</v>
      </c>
      <c r="D66" s="7" t="str">
        <f>IFERROR(__xludf.DUMMYFUNCTION("""COMPUTED_VALUE"""),"Web, Mobile")</f>
        <v>Web, Mobile</v>
      </c>
      <c r="E66" s="7" t="str">
        <f>IFERROR(__xludf.DUMMYFUNCTION("""COMPUTED_VALUE"""),"Master Question bank")</f>
        <v>Master Question bank</v>
      </c>
      <c r="F66" s="7" t="str">
        <f>IFERROR(__xludf.DUMMYFUNCTION("""COMPUTED_VALUE"""),"Import Questions")</f>
        <v>Import Questions</v>
      </c>
      <c r="G66" s="7" t="str">
        <f>IFERROR(__xludf.DUMMYFUNCTION("""COMPUTED_VALUE"""),"M")</f>
        <v>M</v>
      </c>
      <c r="H66" s="7" t="str">
        <f>IFERROR(__xludf.DUMMYFUNCTION("""COMPUTED_VALUE"""),"Jaikishan")</f>
        <v>Jaikishan</v>
      </c>
      <c r="I66" s="7" t="str">
        <f>IFERROR(__xludf.DUMMYFUNCTION("""COMPUTED_VALUE"""),"Functional")</f>
        <v>Functional</v>
      </c>
      <c r="J66" s="7" t="str">
        <f>IFERROR(__xludf.DUMMYFUNCTION("""COMPUTED_VALUE"""),"")</f>
        <v/>
      </c>
      <c r="K66" s="7" t="str">
        <f>IFERROR(__xludf.DUMMYFUNCTION("""COMPUTED_VALUE"""),"Verify, ""Ok"" button without selecting any checkbox.")</f>
        <v>Verify, "Ok" button without selecting any checkbox.</v>
      </c>
      <c r="L66" s="7" t="str">
        <f>IFERROR(__xludf.DUMMYFUNCTION("""COMPUTED_VALUE"""),"1. Click on Import Questions
2. Click on Import from another form.
3. Select any form
4. Click on Ok button")</f>
        <v>1. Click on Import Questions
2. Click on Import from another form.
3. Select any form
4. Click on Ok button</v>
      </c>
      <c r="M66" s="7" t="str">
        <f>IFERROR(__xludf.DUMMYFUNCTION("""COMPUTED_VALUE"""),"Message ""Please select atleast one question."" should be show.
")</f>
        <v>Message "Please select atleast one question." should be show.
</v>
      </c>
      <c r="N66" s="7" t="str">
        <f>IFERROR(__xludf.DUMMYFUNCTION("""COMPUTED_VALUE"""),"")</f>
        <v/>
      </c>
      <c r="O66" s="7" t="str">
        <f>IFERROR(__xludf.DUMMYFUNCTION("""COMPUTED_VALUE"""),"Save without any validation message and showing ""Question has been saved successfully.""
")</f>
        <v>Save without any validation message and showing "Question has been saved successfully."
</v>
      </c>
      <c r="P66" s="7" t="str">
        <f>IFERROR(__xludf.DUMMYFUNCTION("""COMPUTED_VALUE"""),"Fail")</f>
        <v>Fail</v>
      </c>
      <c r="Q66" s="7" t="str">
        <f>IFERROR(__xludf.DUMMYFUNCTION("""COMPUTED_VALUE"""),"Jaikishan")</f>
        <v>Jaikishan</v>
      </c>
      <c r="R66" s="8">
        <f>IFERROR(__xludf.DUMMYFUNCTION("""COMPUTED_VALUE"""),43825.0)</f>
        <v>43825</v>
      </c>
      <c r="S66" s="7" t="str">
        <f>IFERROR(__xludf.DUMMYFUNCTION("""COMPUTED_VALUE"""),"TR2019W52 - Jaikishan")</f>
        <v>TR2019W52 - Jaikishan</v>
      </c>
      <c r="T66" s="9" t="s">
        <v>10</v>
      </c>
      <c r="U66" s="9" t="s">
        <v>15</v>
      </c>
      <c r="V66" s="9" t="s">
        <v>11</v>
      </c>
      <c r="W66" s="7"/>
      <c r="X66" s="7"/>
      <c r="Y66" s="7"/>
      <c r="Z66" s="7"/>
    </row>
    <row r="67">
      <c r="A67" s="7" t="str">
        <f>IFERROR(__xludf.DUMMYFUNCTION("""COMPUTED_VALUE"""),"TCM_dKosh_General_SMF1_036_178")</f>
        <v>TCM_dKosh_General_SMF1_036_178</v>
      </c>
      <c r="B67" s="7" t="str">
        <f>IFERROR(__xludf.DUMMYFUNCTION("""COMPUTED_VALUE"""),"TP_dKosh_General_SMF1_036")</f>
        <v>TP_dKosh_General_SMF1_036</v>
      </c>
      <c r="C67" s="7">
        <f>IFERROR(__xludf.DUMMYFUNCTION("""COMPUTED_VALUE"""),178.0)</f>
        <v>178</v>
      </c>
      <c r="D67" s="7" t="str">
        <f>IFERROR(__xludf.DUMMYFUNCTION("""COMPUTED_VALUE"""),"Web, Mobile")</f>
        <v>Web, Mobile</v>
      </c>
      <c r="E67" s="7" t="str">
        <f>IFERROR(__xludf.DUMMYFUNCTION("""COMPUTED_VALUE"""),"Master Question bank")</f>
        <v>Master Question bank</v>
      </c>
      <c r="F67" s="7" t="str">
        <f>IFERROR(__xludf.DUMMYFUNCTION("""COMPUTED_VALUE"""),"Import Questions")</f>
        <v>Import Questions</v>
      </c>
      <c r="G67" s="7" t="str">
        <f>IFERROR(__xludf.DUMMYFUNCTION("""COMPUTED_VALUE"""),"M")</f>
        <v>M</v>
      </c>
      <c r="H67" s="7" t="str">
        <f>IFERROR(__xludf.DUMMYFUNCTION("""COMPUTED_VALUE"""),"Jaikishan")</f>
        <v>Jaikishan</v>
      </c>
      <c r="I67" s="7" t="str">
        <f>IFERROR(__xludf.DUMMYFUNCTION("""COMPUTED_VALUE"""),"Functional")</f>
        <v>Functional</v>
      </c>
      <c r="J67" s="7" t="str">
        <f>IFERROR(__xludf.DUMMYFUNCTION("""COMPUTED_VALUE"""),"")</f>
        <v/>
      </c>
      <c r="K67" s="7" t="str">
        <f>IFERROR(__xludf.DUMMYFUNCTION("""COMPUTED_VALUE"""),"Verify, deleted question from question bank showing in list.")</f>
        <v>Verify, deleted question from question bank showing in list.</v>
      </c>
      <c r="L67" s="7" t="str">
        <f>IFERROR(__xludf.DUMMYFUNCTION("""COMPUTED_VALUE"""),"")</f>
        <v/>
      </c>
      <c r="M67" s="7" t="str">
        <f>IFERROR(__xludf.DUMMYFUNCTION("""COMPUTED_VALUE"""),"1. Deleted question should not showing in list.
2. Newly added question also showing in list.")</f>
        <v>1. Deleted question should not showing in list.
2. Newly added question also showing in list.</v>
      </c>
      <c r="N67" s="7" t="str">
        <f>IFERROR(__xludf.DUMMYFUNCTION("""COMPUTED_VALUE"""),"")</f>
        <v/>
      </c>
      <c r="O67" s="7" t="str">
        <f>IFERROR(__xludf.DUMMYFUNCTION("""COMPUTED_VALUE"""),"Deleted Question also showing in list.[Delete From database.]")</f>
        <v>Deleted Question also showing in list.[Delete From database.]</v>
      </c>
      <c r="P67" s="7" t="str">
        <f>IFERROR(__xludf.DUMMYFUNCTION("""COMPUTED_VALUE"""),"Fail")</f>
        <v>Fail</v>
      </c>
      <c r="Q67" s="7" t="str">
        <f>IFERROR(__xludf.DUMMYFUNCTION("""COMPUTED_VALUE"""),"Jaikishan")</f>
        <v>Jaikishan</v>
      </c>
      <c r="R67" s="8">
        <f>IFERROR(__xludf.DUMMYFUNCTION("""COMPUTED_VALUE"""),43825.0)</f>
        <v>43825</v>
      </c>
      <c r="S67" s="7" t="str">
        <f>IFERROR(__xludf.DUMMYFUNCTION("""COMPUTED_VALUE"""),"TR2019W52 - Jaikishan")</f>
        <v>TR2019W52 - Jaikishan</v>
      </c>
      <c r="T67" s="9" t="s">
        <v>10</v>
      </c>
      <c r="U67" s="7"/>
      <c r="V67" s="9" t="s">
        <v>11</v>
      </c>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hidden="1" min="1" max="1" width="28.43"/>
    <col customWidth="1" hidden="1" min="2" max="2" width="28.29"/>
    <col customWidth="1" hidden="1" min="3" max="3" width="9.57"/>
    <col customWidth="1" hidden="1" min="4" max="4" width="11.86"/>
    <col hidden="1" min="5" max="9" width="14.43"/>
    <col customWidth="1" hidden="1" min="10" max="10" width="23.86"/>
    <col customWidth="1" min="11" max="11" width="32.0"/>
    <col customWidth="1" hidden="1" min="12" max="12" width="32.86"/>
    <col customWidth="1" min="13" max="13" width="26.43"/>
    <col customWidth="1" min="14" max="14" width="18.86"/>
    <col customWidth="1" min="15" max="15" width="25.86"/>
    <col hidden="1" min="16" max="19" width="14.43"/>
  </cols>
  <sheetData>
    <row r="1">
      <c r="A1" s="1" t="str">
        <f>IFERROR(__xludf.DUMMYFUNCTION("Query(IMPORTRANGE(""https://docs.google.com/spreadsheets/d/1jEbAG0bEllXTKAGJlqI8FhpDdA5pI2ez4m_dRKlp78w/edit#gid=1825913321"", ""TC - Share Form!A:S""), ""select* where Col16= 'Fail' OR Col16= '?'"")"),"Test Case Id")</f>
        <v>Test Case Id</v>
      </c>
      <c r="B1" s="2" t="str">
        <f>IFERROR(__xludf.DUMMYFUNCTION("""COMPUTED_VALUE"""),"Test Plan Id")</f>
        <v>Test Plan Id</v>
      </c>
      <c r="C1" s="2" t="str">
        <f>IFERROR(__xludf.DUMMYFUNCTION("""COMPUTED_VALUE"""),"TC #")</f>
        <v>TC #</v>
      </c>
      <c r="D1" s="2" t="str">
        <f>IFERROR(__xludf.DUMMYFUNCTION("""COMPUTED_VALUE"""),"Platform")</f>
        <v>Platform</v>
      </c>
      <c r="E1" s="2" t="str">
        <f>IFERROR(__xludf.DUMMYFUNCTION("""COMPUTED_VALUE"""),"Sub Module Features")</f>
        <v>Sub Module Features</v>
      </c>
      <c r="F1" s="2" t="str">
        <f>IFERROR(__xludf.DUMMYFUNCTION("""COMPUTED_VALUE"""),"Action")</f>
        <v>Action</v>
      </c>
      <c r="G1" s="2" t="str">
        <f>IFERROR(__xludf.DUMMYFUNCTION("""COMPUTED_VALUE"""),"Test Mode")</f>
        <v>Test Mode</v>
      </c>
      <c r="H1" s="2" t="str">
        <f>IFERROR(__xludf.DUMMYFUNCTION("""COMPUTED_VALUE"""),"Created By")</f>
        <v>Created By</v>
      </c>
      <c r="I1" s="2" t="str">
        <f>IFERROR(__xludf.DUMMYFUNCTION("""COMPUTED_VALUE"""),"Test Case Type")</f>
        <v>Test Case Type</v>
      </c>
      <c r="J1" s="2" t="str">
        <f>IFERROR(__xludf.DUMMYFUNCTION("""COMPUTED_VALUE"""),"Pre Condition")</f>
        <v>Pre Condition</v>
      </c>
      <c r="K1" s="2" t="str">
        <f>IFERROR(__xludf.DUMMYFUNCTION("""COMPUTED_VALUE"""),"Test Case Description")</f>
        <v>Test Case Description</v>
      </c>
      <c r="L1" s="2" t="str">
        <f>IFERROR(__xludf.DUMMYFUNCTION("""COMPUTED_VALUE"""),"Steps")</f>
        <v>Steps</v>
      </c>
      <c r="M1" s="2" t="str">
        <f>IFERROR(__xludf.DUMMYFUNCTION("""COMPUTED_VALUE"""),"Expected Result")</f>
        <v>Expected Result</v>
      </c>
      <c r="N1" s="2" t="str">
        <f>IFERROR(__xludf.DUMMYFUNCTION("""COMPUTED_VALUE"""),"Conditions / Formula / Query")</f>
        <v>Conditions / Formula / Query</v>
      </c>
      <c r="O1" s="2" t="str">
        <f>IFERROR(__xludf.DUMMYFUNCTION("""COMPUTED_VALUE"""),"Actual Result")</f>
        <v>Actual Result</v>
      </c>
      <c r="P1" s="2" t="str">
        <f>IFERROR(__xludf.DUMMYFUNCTION("""COMPUTED_VALUE"""),"Pass/Fail")</f>
        <v>Pass/Fail</v>
      </c>
      <c r="Q1" s="2" t="str">
        <f>IFERROR(__xludf.DUMMYFUNCTION("""COMPUTED_VALUE"""),"Executed By")</f>
        <v>Executed By</v>
      </c>
      <c r="R1" s="2" t="str">
        <f>IFERROR(__xludf.DUMMYFUNCTION("""COMPUTED_VALUE"""),"Date Execution")</f>
        <v>Date Execution</v>
      </c>
      <c r="S1" s="2" t="str">
        <f>IFERROR(__xludf.DUMMYFUNCTION("""COMPUTED_VALUE"""),"Remarks")</f>
        <v>Remarks</v>
      </c>
      <c r="T1" s="5" t="s">
        <v>0</v>
      </c>
      <c r="U1" s="5" t="s">
        <v>1</v>
      </c>
      <c r="V1" s="2" t="s">
        <v>16</v>
      </c>
      <c r="W1" s="2" t="s">
        <v>17</v>
      </c>
      <c r="X1" s="13" t="s">
        <v>18</v>
      </c>
      <c r="Y1" s="7"/>
      <c r="Z1" s="7"/>
    </row>
    <row r="2">
      <c r="A2" s="7" t="str">
        <f>IFERROR(__xludf.DUMMYFUNCTION("""COMPUTED_VALUE"""),"TCJaikishan_dKosh_General_SMF1_008_016")</f>
        <v>TCJaikishan_dKosh_General_SMF1_008_016</v>
      </c>
      <c r="B2" s="7" t="str">
        <f>IFERROR(__xludf.DUMMYFUNCTION("""COMPUTED_VALUE"""),"TP_dKosh_General_SMF1_008")</f>
        <v>TP_dKosh_General_SMF1_008</v>
      </c>
      <c r="C2" s="7">
        <f>IFERROR(__xludf.DUMMYFUNCTION("""COMPUTED_VALUE"""),16.0)</f>
        <v>16</v>
      </c>
      <c r="D2" s="7" t="str">
        <f>IFERROR(__xludf.DUMMYFUNCTION("""COMPUTED_VALUE"""),"")</f>
        <v/>
      </c>
      <c r="E2" s="7" t="str">
        <f>IFERROR(__xludf.DUMMYFUNCTION("""COMPUTED_VALUE"""),"Share Form")</f>
        <v>Share Form</v>
      </c>
      <c r="F2" s="7" t="str">
        <f>IFERROR(__xludf.DUMMYFUNCTION("""COMPUTED_VALUE"""),"Share Form")</f>
        <v>Share Form</v>
      </c>
      <c r="G2" s="7" t="str">
        <f>IFERROR(__xludf.DUMMYFUNCTION("""COMPUTED_VALUE"""),"M")</f>
        <v>M</v>
      </c>
      <c r="H2" s="7" t="str">
        <f>IFERROR(__xludf.DUMMYFUNCTION("""COMPUTED_VALUE"""),"Jaikishan")</f>
        <v>Jaikishan</v>
      </c>
      <c r="I2" s="7" t="str">
        <f>IFERROR(__xludf.DUMMYFUNCTION("""COMPUTED_VALUE"""),"Functional")</f>
        <v>Functional</v>
      </c>
      <c r="J2" s="7" t="str">
        <f>IFERROR(__xludf.DUMMYFUNCTION("""COMPUTED_VALUE"""),"1. Form must be created.
2. User has permission of 'Share Form'.
3. Atleast one user should be mapped with that form.")</f>
        <v>1. Form must be created.
2. User has permission of 'Share Form'.
3. Atleast one user should be mapped with that form.</v>
      </c>
      <c r="K2" s="7" t="str">
        <f>IFERROR(__xludf.DUMMYFUNCTION("""COMPUTED_VALUE"""),"Verify, post action after selecting 'User' in 'Can analyse' permission.")</f>
        <v>Verify, post action after selecting 'User' in 'Can analyse' permission.</v>
      </c>
      <c r="L2" s="7" t="str">
        <f>IFERROR(__xludf.DUMMYFUNCTION("""COMPUTED_VALUE"""),"1. Go to manage form list.
2. Click on action icon of any form.
3. Click on 'Share Form'.
4. Select any user
4. Click on 'Can analyse' dropdown
5. Click on ""Ok"".")</f>
        <v>1. Go to manage form list.
2. Click on action icon of any form.
3. Click on 'Share Form'.
4. Select any user
4. Click on 'Can analyse' dropdown
5. Click on "Ok".</v>
      </c>
      <c r="M2" s="7" t="str">
        <f>IFERROR(__xludf.DUMMYFUNCTION("""COMPUTED_VALUE"""),"1. Select User should be able to analyse form.
2. Cannot change form status
3. Not change accept responses toggle.")</f>
        <v>1. Select User should be able to analyse form.
2. Cannot change form status
3. Not change accept responses toggle.</v>
      </c>
      <c r="N2" s="7" t="str">
        <f>IFERROR(__xludf.DUMMYFUNCTION("""COMPUTED_VALUE"""),"")</f>
        <v/>
      </c>
      <c r="O2" s="7" t="str">
        <f>IFERROR(__xludf.DUMMYFUNCTION("""COMPUTED_VALUE"""),"When change status, then it show wrong error ""This short name exists.""")</f>
        <v>When change status, then it show wrong error "This short name exists."</v>
      </c>
      <c r="P2" s="7" t="str">
        <f>IFERROR(__xludf.DUMMYFUNCTION("""COMPUTED_VALUE"""),"Fail")</f>
        <v>Fail</v>
      </c>
      <c r="Q2" s="7" t="str">
        <f>IFERROR(__xludf.DUMMYFUNCTION("""COMPUTED_VALUE"""),"Jaikishan")</f>
        <v>Jaikishan</v>
      </c>
      <c r="R2" s="8">
        <f>IFERROR(__xludf.DUMMYFUNCTION("""COMPUTED_VALUE"""),43797.0)</f>
        <v>43797</v>
      </c>
      <c r="S2" s="7" t="str">
        <f>IFERROR(__xludf.DUMMYFUNCTION("""COMPUTED_VALUE"""),"")</f>
        <v/>
      </c>
      <c r="T2" s="9" t="s">
        <v>10</v>
      </c>
      <c r="U2" s="7"/>
      <c r="V2" s="9" t="s">
        <v>11</v>
      </c>
      <c r="W2" s="9" t="s">
        <v>22</v>
      </c>
      <c r="X2" s="7"/>
      <c r="Y2" s="7"/>
      <c r="Z2" s="7"/>
    </row>
    <row r="3">
      <c r="A3" s="7" t="str">
        <f>IFERROR(__xludf.DUMMYFUNCTION("""COMPUTED_VALUE"""),"TCJaikishan_dKosh_General_SMF1_008_019")</f>
        <v>TCJaikishan_dKosh_General_SMF1_008_019</v>
      </c>
      <c r="B3" s="7" t="str">
        <f>IFERROR(__xludf.DUMMYFUNCTION("""COMPUTED_VALUE"""),"TP_dKosh_General_SMF1_008")</f>
        <v>TP_dKosh_General_SMF1_008</v>
      </c>
      <c r="C3" s="7">
        <f>IFERROR(__xludf.DUMMYFUNCTION("""COMPUTED_VALUE"""),19.0)</f>
        <v>19</v>
      </c>
      <c r="D3" s="7" t="str">
        <f>IFERROR(__xludf.DUMMYFUNCTION("""COMPUTED_VALUE"""),"")</f>
        <v/>
      </c>
      <c r="E3" s="7" t="str">
        <f>IFERROR(__xludf.DUMMYFUNCTION("""COMPUTED_VALUE"""),"Share Form")</f>
        <v>Share Form</v>
      </c>
      <c r="F3" s="7" t="str">
        <f>IFERROR(__xludf.DUMMYFUNCTION("""COMPUTED_VALUE"""),"Share Form")</f>
        <v>Share Form</v>
      </c>
      <c r="G3" s="7" t="str">
        <f>IFERROR(__xludf.DUMMYFUNCTION("""COMPUTED_VALUE"""),"M")</f>
        <v>M</v>
      </c>
      <c r="H3" s="7" t="str">
        <f>IFERROR(__xludf.DUMMYFUNCTION("""COMPUTED_VALUE"""),"Jaikishan")</f>
        <v>Jaikishan</v>
      </c>
      <c r="I3" s="7" t="str">
        <f>IFERROR(__xludf.DUMMYFUNCTION("""COMPUTED_VALUE"""),"")</f>
        <v/>
      </c>
      <c r="J3" s="7" t="str">
        <f>IFERROR(__xludf.DUMMYFUNCTION("""COMPUTED_VALUE"""),"1. Form must be created.
2. User has permission of 'Share Form'.
3. Atleast one user should be mapped with that form.")</f>
        <v>1. Form must be created.
2. User has permission of 'Share Form'.
3. Atleast one user should be mapped with that form.</v>
      </c>
      <c r="K3" s="7" t="str">
        <f>IFERROR(__xludf.DUMMYFUNCTION("""COMPUTED_VALUE"""),"Verify, Only one owner should be show for one form.")</f>
        <v>Verify, Only one owner should be show for one form.</v>
      </c>
      <c r="L3" s="7" t="str">
        <f>IFERROR(__xludf.DUMMYFUNCTION("""COMPUTED_VALUE"""),"1. Go to manage form list.
2. Click on action icon of any form.
3. Click on 'Share Form'.
4. Select any user &amp; Save.
5. change user permission to ""Is owner""
6. Click on ""ok""")</f>
        <v>1. Go to manage form list.
2. Click on action icon of any form.
3. Click on 'Share Form'.
4. Select any user &amp; Save.
5. change user permission to "Is owner"
6. Click on "ok"</v>
      </c>
      <c r="M3" s="7" t="str">
        <f>IFERROR(__xludf.DUMMYFUNCTION("""COMPUTED_VALUE"""),"Only one owner should be show for one form")</f>
        <v>Only one owner should be show for one form</v>
      </c>
      <c r="N3" s="7" t="str">
        <f>IFERROR(__xludf.DUMMYFUNCTION("""COMPUTED_VALUE"""),".")</f>
        <v>.</v>
      </c>
      <c r="O3" s="7" t="str">
        <f>IFERROR(__xludf.DUMMYFUNCTION("""COMPUTED_VALUE"""),"Multiple owner can be assigned, when share form to multiple user and give permission is owner to all user.")</f>
        <v>Multiple owner can be assigned, when share form to multiple user and give permission is owner to all user.</v>
      </c>
      <c r="P3" s="7" t="str">
        <f>IFERROR(__xludf.DUMMYFUNCTION("""COMPUTED_VALUE"""),"Fail")</f>
        <v>Fail</v>
      </c>
      <c r="Q3" s="7" t="str">
        <f>IFERROR(__xludf.DUMMYFUNCTION("""COMPUTED_VALUE"""),"Jaikishan")</f>
        <v>Jaikishan</v>
      </c>
      <c r="R3" s="8">
        <f>IFERROR(__xludf.DUMMYFUNCTION("""COMPUTED_VALUE"""),43797.0)</f>
        <v>43797</v>
      </c>
      <c r="S3" s="7" t="str">
        <f>IFERROR(__xludf.DUMMYFUNCTION("""COMPUTED_VALUE"""),"")</f>
        <v/>
      </c>
      <c r="T3" s="9" t="s">
        <v>10</v>
      </c>
      <c r="U3" s="7"/>
      <c r="V3" s="9" t="s">
        <v>13</v>
      </c>
      <c r="W3" s="9" t="s">
        <v>22</v>
      </c>
      <c r="X3" s="7"/>
      <c r="Y3" s="7"/>
      <c r="Z3" s="7"/>
    </row>
    <row r="4">
      <c r="A4" s="7" t="str">
        <f>IFERROR(__xludf.DUMMYFUNCTION("""COMPUTED_VALUE"""),"TCJaikishan_dKosh_General_SMF1_008_022")</f>
        <v>TCJaikishan_dKosh_General_SMF1_008_022</v>
      </c>
      <c r="B4" s="7" t="str">
        <f>IFERROR(__xludf.DUMMYFUNCTION("""COMPUTED_VALUE"""),"TP_dKosh_General_SMF1_008")</f>
        <v>TP_dKosh_General_SMF1_008</v>
      </c>
      <c r="C4" s="7">
        <f>IFERROR(__xludf.DUMMYFUNCTION("""COMPUTED_VALUE"""),22.0)</f>
        <v>22</v>
      </c>
      <c r="D4" s="7" t="str">
        <f>IFERROR(__xludf.DUMMYFUNCTION("""COMPUTED_VALUE"""),"")</f>
        <v/>
      </c>
      <c r="E4" s="7" t="str">
        <f>IFERROR(__xludf.DUMMYFUNCTION("""COMPUTED_VALUE"""),"Share Form")</f>
        <v>Share Form</v>
      </c>
      <c r="F4" s="7" t="str">
        <f>IFERROR(__xludf.DUMMYFUNCTION("""COMPUTED_VALUE"""),"Share Form")</f>
        <v>Share Form</v>
      </c>
      <c r="G4" s="7" t="str">
        <f>IFERROR(__xludf.DUMMYFUNCTION("""COMPUTED_VALUE"""),"M")</f>
        <v>M</v>
      </c>
      <c r="H4" s="7" t="str">
        <f>IFERROR(__xludf.DUMMYFUNCTION("""COMPUTED_VALUE"""),"Jaikishan")</f>
        <v>Jaikishan</v>
      </c>
      <c r="I4" s="7" t="str">
        <f>IFERROR(__xludf.DUMMYFUNCTION("""COMPUTED_VALUE"""),"Functional")</f>
        <v>Functional</v>
      </c>
      <c r="J4" s="7" t="str">
        <f>IFERROR(__xludf.DUMMYFUNCTION("""COMPUTED_VALUE"""),"1. Form must be created.
2. User has permission of 'Share Form'.
3. Atleast one user should be mapped with that form.")</f>
        <v>1. Form must be created.
2. User has permission of 'Share Form'.
3. Atleast one user should be mapped with that form.</v>
      </c>
      <c r="K4" s="7" t="str">
        <f>IFERROR(__xludf.DUMMYFUNCTION("""COMPUTED_VALUE"""),"Verify, post action after click on Remove user icon")</f>
        <v>Verify, post action after click on Remove user icon</v>
      </c>
      <c r="L4" s="7" t="str">
        <f>IFERROR(__xludf.DUMMYFUNCTION("""COMPUTED_VALUE"""),"1. Go to manage form list.
2. Click on action icon of any form with 'New' status.
3. Click on 'Share Form'.
4. Click on remove user")</f>
        <v>1. Go to manage form list.
2. Click on action icon of any form with 'New' status.
3. Click on 'Share Form'.
4. Click on remove user</v>
      </c>
      <c r="M4" s="7" t="str">
        <f>IFERROR(__xludf.DUMMYFUNCTION("""COMPUTED_VALUE"""),"1. Remove user details from the access list.
2. Hand cursor should be showing on hover")</f>
        <v>1. Remove user details from the access list.
2. Hand cursor should be showing on hover</v>
      </c>
      <c r="N4" s="7" t="str">
        <f>IFERROR(__xludf.DUMMYFUNCTION("""COMPUTED_VALUE"""),"")</f>
        <v/>
      </c>
      <c r="O4" s="7" t="str">
        <f>IFERROR(__xludf.DUMMYFUNCTION("""COMPUTED_VALUE"""),"1. Remove user details from the access list.(pass)
2. Hand cursopn not showing on hover.")</f>
        <v>1. Remove user details from the access list.(pass)
2. Hand cursopn not showing on hover.</v>
      </c>
      <c r="P4" s="7" t="str">
        <f>IFERROR(__xludf.DUMMYFUNCTION("""COMPUTED_VALUE"""),"Fail")</f>
        <v>Fail</v>
      </c>
      <c r="Q4" s="7" t="str">
        <f>IFERROR(__xludf.DUMMYFUNCTION("""COMPUTED_VALUE"""),"Jaikishan")</f>
        <v>Jaikishan</v>
      </c>
      <c r="R4" s="8">
        <f>IFERROR(__xludf.DUMMYFUNCTION("""COMPUTED_VALUE"""),43796.0)</f>
        <v>43796</v>
      </c>
      <c r="S4" s="7" t="str">
        <f>IFERROR(__xludf.DUMMYFUNCTION("""COMPUTED_VALUE"""),"")</f>
        <v/>
      </c>
      <c r="T4" s="9" t="s">
        <v>10</v>
      </c>
      <c r="U4" s="7"/>
      <c r="V4" s="9" t="s">
        <v>11</v>
      </c>
      <c r="W4" s="9" t="s">
        <v>22</v>
      </c>
      <c r="X4" s="7"/>
      <c r="Y4" s="7"/>
      <c r="Z4" s="7"/>
    </row>
    <row r="5">
      <c r="A5" s="7" t="str">
        <f>IFERROR(__xludf.DUMMYFUNCTION("""COMPUTED_VALUE"""),"TCJaikishan_dKosh_General_SMF1_008_027")</f>
        <v>TCJaikishan_dKosh_General_SMF1_008_027</v>
      </c>
      <c r="B5" s="7" t="str">
        <f>IFERROR(__xludf.DUMMYFUNCTION("""COMPUTED_VALUE"""),"TP_dKosh_General_SMF1_008")</f>
        <v>TP_dKosh_General_SMF1_008</v>
      </c>
      <c r="C5" s="7">
        <f>IFERROR(__xludf.DUMMYFUNCTION("""COMPUTED_VALUE"""),27.0)</f>
        <v>27</v>
      </c>
      <c r="D5" s="7" t="str">
        <f>IFERROR(__xludf.DUMMYFUNCTION("""COMPUTED_VALUE"""),"")</f>
        <v/>
      </c>
      <c r="E5" s="7" t="str">
        <f>IFERROR(__xludf.DUMMYFUNCTION("""COMPUTED_VALUE"""),"Share Form")</f>
        <v>Share Form</v>
      </c>
      <c r="F5" s="7" t="str">
        <f>IFERROR(__xludf.DUMMYFUNCTION("""COMPUTED_VALUE"""),"Share Form")</f>
        <v>Share Form</v>
      </c>
      <c r="G5" s="7" t="str">
        <f>IFERROR(__xludf.DUMMYFUNCTION("""COMPUTED_VALUE"""),"M")</f>
        <v>M</v>
      </c>
      <c r="H5" s="7" t="str">
        <f>IFERROR(__xludf.DUMMYFUNCTION("""COMPUTED_VALUE"""),"Jaikishan")</f>
        <v>Jaikishan</v>
      </c>
      <c r="I5" s="7" t="str">
        <f>IFERROR(__xludf.DUMMYFUNCTION("""COMPUTED_VALUE"""),"Functional")</f>
        <v>Functional</v>
      </c>
      <c r="J5" s="7" t="str">
        <f>IFERROR(__xludf.DUMMYFUNCTION("""COMPUTED_VALUE"""),"1. Form must be created.
2. User has permission of 'Share Form'.
3. Atleast one user should be mapped with that form.")</f>
        <v>1. Form must be created.
2. User has permission of 'Share Form'.
3. Atleast one user should be mapped with that form.</v>
      </c>
      <c r="K5" s="7" t="str">
        <f>IFERROR(__xludf.DUMMYFUNCTION("""COMPUTED_VALUE"""),"Verify, ""Action done by User with ""Can Analyse"" permission of Form.")</f>
        <v>Verify, "Action done by User with "Can Analyse" permission of Form.</v>
      </c>
      <c r="L5" s="7" t="str">
        <f>IFERROR(__xludf.DUMMYFUNCTION("""COMPUTED_VALUE"""),"1. Go to manage form list.
2. Click on action icon of any form with 'New' status.
3. Click on 'Share Form'.
4. User with Can analyser permission.
5. Go to user account
6. Check action done by user.")</f>
        <v>1. Go to manage form list.
2. Click on action icon of any form with 'New' status.
3. Click on 'Share Form'.
4. User with Can analyser permission.
5. Go to user account
6. Check action done by user.</v>
      </c>
      <c r="M5" s="7" t="str">
        <f>IFERROR(__xludf.DUMMYFUNCTION("""COMPUTED_VALUE"""),"??")</f>
        <v>??</v>
      </c>
      <c r="N5" s="7" t="str">
        <f>IFERROR(__xludf.DUMMYFUNCTION("""COMPUTED_VALUE"""),"")</f>
        <v/>
      </c>
      <c r="O5" s="7" t="str">
        <f>IFERROR(__xludf.DUMMYFUNCTION("""COMPUTED_VALUE"""),"")</f>
        <v/>
      </c>
      <c r="P5" s="7" t="str">
        <f>IFERROR(__xludf.DUMMYFUNCTION("""COMPUTED_VALUE"""),"?")</f>
        <v>?</v>
      </c>
      <c r="Q5" s="7" t="str">
        <f>IFERROR(__xludf.DUMMYFUNCTION("""COMPUTED_VALUE"""),"Jaikishan")</f>
        <v>Jaikishan</v>
      </c>
      <c r="R5" s="8" t="str">
        <f>IFERROR(__xludf.DUMMYFUNCTION("""COMPUTED_VALUE"""),"")</f>
        <v/>
      </c>
      <c r="S5" s="7" t="str">
        <f>IFERROR(__xludf.DUMMYFUNCTION("""COMPUTED_VALUE"""),"")</f>
        <v/>
      </c>
      <c r="T5" s="9" t="s">
        <v>10</v>
      </c>
      <c r="U5" s="7"/>
      <c r="V5" s="9" t="s">
        <v>29</v>
      </c>
      <c r="W5" s="9" t="s">
        <v>22</v>
      </c>
      <c r="X5" s="7"/>
      <c r="Y5" s="7"/>
      <c r="Z5" s="7"/>
    </row>
    <row r="6">
      <c r="A6" s="7" t="str">
        <f>IFERROR(__xludf.DUMMYFUNCTION("""COMPUTED_VALUE"""),"TCJaikishan_dKosh_General_SMF1_008_028")</f>
        <v>TCJaikishan_dKosh_General_SMF1_008_028</v>
      </c>
      <c r="B6" s="7" t="str">
        <f>IFERROR(__xludf.DUMMYFUNCTION("""COMPUTED_VALUE"""),"TP_dKosh_General_SMF1_008")</f>
        <v>TP_dKosh_General_SMF1_008</v>
      </c>
      <c r="C6" s="7">
        <f>IFERROR(__xludf.DUMMYFUNCTION("""COMPUTED_VALUE"""),28.0)</f>
        <v>28</v>
      </c>
      <c r="D6" s="7" t="str">
        <f>IFERROR(__xludf.DUMMYFUNCTION("""COMPUTED_VALUE"""),"")</f>
        <v/>
      </c>
      <c r="E6" s="7" t="str">
        <f>IFERROR(__xludf.DUMMYFUNCTION("""COMPUTED_VALUE"""),"Share Form")</f>
        <v>Share Form</v>
      </c>
      <c r="F6" s="7" t="str">
        <f>IFERROR(__xludf.DUMMYFUNCTION("""COMPUTED_VALUE"""),"Share Form")</f>
        <v>Share Form</v>
      </c>
      <c r="G6" s="7" t="str">
        <f>IFERROR(__xludf.DUMMYFUNCTION("""COMPUTED_VALUE"""),"M")</f>
        <v>M</v>
      </c>
      <c r="H6" s="7" t="str">
        <f>IFERROR(__xludf.DUMMYFUNCTION("""COMPUTED_VALUE"""),"Jaikishan")</f>
        <v>Jaikishan</v>
      </c>
      <c r="I6" s="7" t="str">
        <f>IFERROR(__xludf.DUMMYFUNCTION("""COMPUTED_VALUE"""),"Functional")</f>
        <v>Functional</v>
      </c>
      <c r="J6" s="7" t="str">
        <f>IFERROR(__xludf.DUMMYFUNCTION("""COMPUTED_VALUE"""),"1. Form must be created.
2. User has permission of 'Share Form'.
3. Atleast one user should be mapped with that form.")</f>
        <v>1. Form must be created.
2. User has permission of 'Share Form'.
3. Atleast one user should be mapped with that form.</v>
      </c>
      <c r="K6" s="7" t="str">
        <f>IFERROR(__xludf.DUMMYFUNCTION("""COMPUTED_VALUE"""),"Verify, User with ""Analyse"" permission can View the form.")</f>
        <v>Verify, User with "Analyse" permission can View the form.</v>
      </c>
      <c r="L6" s="7" t="str">
        <f>IFERROR(__xludf.DUMMYFUNCTION("""COMPUTED_VALUE"""),"1. Go to manage form list.
2. Click on action icon of any form with 'New' status.
3. Click on 'Share Form'.
4. Go to User account.
5. Check user can view the form.")</f>
        <v>1. Go to manage form list.
2. Click on action icon of any form with 'New' status.
3. Click on 'Share Form'.
4. Go to User account.
5. Check user can view the form.</v>
      </c>
      <c r="M6" s="7" t="str">
        <f>IFERROR(__xludf.DUMMYFUNCTION("""COMPUTED_VALUE"""),"??")</f>
        <v>??</v>
      </c>
      <c r="N6" s="7" t="str">
        <f>IFERROR(__xludf.DUMMYFUNCTION("""COMPUTED_VALUE"""),"")</f>
        <v/>
      </c>
      <c r="O6" s="7" t="str">
        <f>IFERROR(__xludf.DUMMYFUNCTION("""COMPUTED_VALUE"""),"")</f>
        <v/>
      </c>
      <c r="P6" s="7" t="str">
        <f>IFERROR(__xludf.DUMMYFUNCTION("""COMPUTED_VALUE"""),"?")</f>
        <v>?</v>
      </c>
      <c r="Q6" s="7" t="str">
        <f>IFERROR(__xludf.DUMMYFUNCTION("""COMPUTED_VALUE"""),"Jaikishan")</f>
        <v>Jaikishan</v>
      </c>
      <c r="R6" s="8" t="str">
        <f>IFERROR(__xludf.DUMMYFUNCTION("""COMPUTED_VALUE"""),"")</f>
        <v/>
      </c>
      <c r="S6" s="7" t="str">
        <f>IFERROR(__xludf.DUMMYFUNCTION("""COMPUTED_VALUE"""),"")</f>
        <v/>
      </c>
      <c r="T6" s="7"/>
      <c r="U6" s="9" t="s">
        <v>31</v>
      </c>
      <c r="V6" s="7"/>
      <c r="W6" s="9" t="s">
        <v>22</v>
      </c>
      <c r="X6" s="7"/>
      <c r="Y6" s="7"/>
      <c r="Z6" s="7"/>
    </row>
    <row r="7">
      <c r="A7" s="7" t="str">
        <f>IFERROR(__xludf.DUMMYFUNCTION("""COMPUTED_VALUE"""),"TCJaikishan_dKosh_General_SMF1_008_029")</f>
        <v>TCJaikishan_dKosh_General_SMF1_008_029</v>
      </c>
      <c r="B7" s="7" t="str">
        <f>IFERROR(__xludf.DUMMYFUNCTION("""COMPUTED_VALUE"""),"TP_dKosh_General_SMF1_008")</f>
        <v>TP_dKosh_General_SMF1_008</v>
      </c>
      <c r="C7" s="7">
        <f>IFERROR(__xludf.DUMMYFUNCTION("""COMPUTED_VALUE"""),29.0)</f>
        <v>29</v>
      </c>
      <c r="D7" s="7" t="str">
        <f>IFERROR(__xludf.DUMMYFUNCTION("""COMPUTED_VALUE"""),"")</f>
        <v/>
      </c>
      <c r="E7" s="7" t="str">
        <f>IFERROR(__xludf.DUMMYFUNCTION("""COMPUTED_VALUE"""),"Share Form")</f>
        <v>Share Form</v>
      </c>
      <c r="F7" s="7" t="str">
        <f>IFERROR(__xludf.DUMMYFUNCTION("""COMPUTED_VALUE"""),"Share Form")</f>
        <v>Share Form</v>
      </c>
      <c r="G7" s="7" t="str">
        <f>IFERROR(__xludf.DUMMYFUNCTION("""COMPUTED_VALUE"""),"M")</f>
        <v>M</v>
      </c>
      <c r="H7" s="7" t="str">
        <f>IFERROR(__xludf.DUMMYFUNCTION("""COMPUTED_VALUE"""),"Jaikishan")</f>
        <v>Jaikishan</v>
      </c>
      <c r="I7" s="7" t="str">
        <f>IFERROR(__xludf.DUMMYFUNCTION("""COMPUTED_VALUE"""),"Functional")</f>
        <v>Functional</v>
      </c>
      <c r="J7" s="7" t="str">
        <f>IFERROR(__xludf.DUMMYFUNCTION("""COMPUTED_VALUE"""),"1. Form must be created.
2. User has permission of 'Share Form'.
3. Atleast one user should be mapped with that form.")</f>
        <v>1. Form must be created.
2. User has permission of 'Share Form'.
3. Atleast one user should be mapped with that form.</v>
      </c>
      <c r="K7" s="7" t="str">
        <f>IFERROR(__xludf.DUMMYFUNCTION("""COMPUTED_VALUE"""),"Verify, User with ""Analyse"" permission can change the status of form.")</f>
        <v>Verify, User with "Analyse" permission can change the status of form.</v>
      </c>
      <c r="L7" s="7" t="str">
        <f>IFERROR(__xludf.DUMMYFUNCTION("""COMPUTED_VALUE"""),"1. Go to manage form list.
2. Click on action icon of any form with 'New' status.
3. Click on 'Share Form'.
4. Go to User account.
5. Change form status.")</f>
        <v>1. Go to manage form list.
2. Click on action icon of any form with 'New' status.
3. Click on 'Share Form'.
4. Go to User account.
5. Change form status.</v>
      </c>
      <c r="M7" s="7" t="str">
        <f>IFERROR(__xludf.DUMMYFUNCTION("""COMPUTED_VALUE"""),"Form status should not be changed.")</f>
        <v>Form status should not be changed.</v>
      </c>
      <c r="N7" s="7" t="str">
        <f>IFERROR(__xludf.DUMMYFUNCTION("""COMPUTED_VALUE"""),"")</f>
        <v/>
      </c>
      <c r="O7" s="7" t="str">
        <f>IFERROR(__xludf.DUMMYFUNCTION("""COMPUTED_VALUE"""),"Form status not changed but showing some wrong error message ""This short name exists. """)</f>
        <v>Form status not changed but showing some wrong error message "This short name exists. "</v>
      </c>
      <c r="P7" s="7" t="str">
        <f>IFERROR(__xludf.DUMMYFUNCTION("""COMPUTED_VALUE"""),"Fail")</f>
        <v>Fail</v>
      </c>
      <c r="Q7" s="7" t="str">
        <f>IFERROR(__xludf.DUMMYFUNCTION("""COMPUTED_VALUE"""),"Jaikishan")</f>
        <v>Jaikishan</v>
      </c>
      <c r="R7" s="8">
        <f>IFERROR(__xludf.DUMMYFUNCTION("""COMPUTED_VALUE"""),43796.0)</f>
        <v>43796</v>
      </c>
      <c r="S7" s="7" t="str">
        <f>IFERROR(__xludf.DUMMYFUNCTION("""COMPUTED_VALUE"""),"")</f>
        <v/>
      </c>
      <c r="T7" s="9" t="s">
        <v>10</v>
      </c>
      <c r="U7" s="7"/>
      <c r="V7" s="9" t="s">
        <v>11</v>
      </c>
      <c r="W7" s="9" t="s">
        <v>22</v>
      </c>
      <c r="X7" s="7"/>
      <c r="Y7" s="7"/>
      <c r="Z7" s="7"/>
    </row>
    <row r="8">
      <c r="A8" s="7" t="str">
        <f>IFERROR(__xludf.DUMMYFUNCTION("""COMPUTED_VALUE"""),"TCJaikishan_dKosh_General_SMF1_008_031")</f>
        <v>TCJaikishan_dKosh_General_SMF1_008_031</v>
      </c>
      <c r="B8" s="7" t="str">
        <f>IFERROR(__xludf.DUMMYFUNCTION("""COMPUTED_VALUE"""),"TP_dKosh_General_SMF1_008")</f>
        <v>TP_dKosh_General_SMF1_008</v>
      </c>
      <c r="C8" s="7">
        <f>IFERROR(__xludf.DUMMYFUNCTION("""COMPUTED_VALUE"""),31.0)</f>
        <v>31</v>
      </c>
      <c r="D8" s="7" t="str">
        <f>IFERROR(__xludf.DUMMYFUNCTION("""COMPUTED_VALUE"""),"")</f>
        <v/>
      </c>
      <c r="E8" s="7" t="str">
        <f>IFERROR(__xludf.DUMMYFUNCTION("""COMPUTED_VALUE"""),"Share Form")</f>
        <v>Share Form</v>
      </c>
      <c r="F8" s="7" t="str">
        <f>IFERROR(__xludf.DUMMYFUNCTION("""COMPUTED_VALUE"""),"Share Form")</f>
        <v>Share Form</v>
      </c>
      <c r="G8" s="7" t="str">
        <f>IFERROR(__xludf.DUMMYFUNCTION("""COMPUTED_VALUE"""),"M")</f>
        <v>M</v>
      </c>
      <c r="H8" s="7" t="str">
        <f>IFERROR(__xludf.DUMMYFUNCTION("""COMPUTED_VALUE"""),"Jaikishan")</f>
        <v>Jaikishan</v>
      </c>
      <c r="I8" s="7" t="str">
        <f>IFERROR(__xludf.DUMMYFUNCTION("""COMPUTED_VALUE"""),"Functional")</f>
        <v>Functional</v>
      </c>
      <c r="J8" s="7" t="str">
        <f>IFERROR(__xludf.DUMMYFUNCTION("""COMPUTED_VALUE"""),"1. Form must be created.
2. User has permission of 'Share Form'.
3. Atleast one user should be mapped with that form.")</f>
        <v>1. Form must be created.
2. User has permission of 'Share Form'.
3. Atleast one user should be mapped with that form.</v>
      </c>
      <c r="K8" s="7" t="str">
        <f>IFERROR(__xludf.DUMMYFUNCTION("""COMPUTED_VALUE"""),"Verify, User with ""Analyse"" permission when click on ""Share form""")</f>
        <v>Verify, User with "Analyse" permission when click on "Share form"</v>
      </c>
      <c r="L8" s="7" t="str">
        <f>IFERROR(__xludf.DUMMYFUNCTION("""COMPUTED_VALUE"""),"1. Go to manage form list.
2. Click on action icon of any form with 'New' status.
3. Click on 'Share Form'.
4. Go to User account.
5. Click on ""Share Form""")</f>
        <v>1. Go to manage form list.
2. Click on action icon of any form with 'New' status.
3. Click on 'Share Form'.
4. Go to User account.
5. Click on "Share Form"</v>
      </c>
      <c r="M8" s="7" t="str">
        <f>IFERROR(__xludf.DUMMYFUNCTION("""COMPUTED_VALUE"""),"Caption ""You must ask the owner to invite the people or share form."" should be shown.
2. Send Request button should be present.
")</f>
        <v>Caption "You must ask the owner to invite the people or share form." should be shown.
2. Send Request button should be present.
</v>
      </c>
      <c r="N8" s="7" t="str">
        <f>IFERROR(__xludf.DUMMYFUNCTION("""COMPUTED_VALUE"""),"How to ask to owner to share form???")</f>
        <v>How to ask to owner to share form???</v>
      </c>
      <c r="O8" s="7" t="str">
        <f>IFERROR(__xludf.DUMMYFUNCTION("""COMPUTED_VALUE"""),"Send Request button is not present.")</f>
        <v>Send Request button is not present.</v>
      </c>
      <c r="P8" s="7" t="str">
        <f>IFERROR(__xludf.DUMMYFUNCTION("""COMPUTED_VALUE"""),"Fail")</f>
        <v>Fail</v>
      </c>
      <c r="Q8" s="7" t="str">
        <f>IFERROR(__xludf.DUMMYFUNCTION("""COMPUTED_VALUE"""),"Jaikishan")</f>
        <v>Jaikishan</v>
      </c>
      <c r="R8" s="8">
        <f>IFERROR(__xludf.DUMMYFUNCTION("""COMPUTED_VALUE"""),43796.0)</f>
        <v>43796</v>
      </c>
      <c r="S8" s="7" t="str">
        <f>IFERROR(__xludf.DUMMYFUNCTION("""COMPUTED_VALUE"""),"Query???")</f>
        <v>Query???</v>
      </c>
      <c r="T8" s="7"/>
      <c r="U8" s="9" t="s">
        <v>33</v>
      </c>
      <c r="V8" s="7"/>
      <c r="W8" s="9" t="s">
        <v>22</v>
      </c>
      <c r="X8" s="7"/>
      <c r="Y8" s="7"/>
      <c r="Z8" s="7"/>
    </row>
    <row r="9">
      <c r="A9" s="10" t="str">
        <f>IFERROR(__xludf.DUMMYFUNCTION("""COMPUTED_VALUE"""),"TCJaikishan_dKosh_General_SMF1_008_032")</f>
        <v>TCJaikishan_dKosh_General_SMF1_008_032</v>
      </c>
      <c r="B9" s="10" t="str">
        <f>IFERROR(__xludf.DUMMYFUNCTION("""COMPUTED_VALUE"""),"TP_dKosh_General_SMF1_008")</f>
        <v>TP_dKosh_General_SMF1_008</v>
      </c>
      <c r="C9" s="10">
        <f>IFERROR(__xludf.DUMMYFUNCTION("""COMPUTED_VALUE"""),32.0)</f>
        <v>32</v>
      </c>
      <c r="D9" s="10" t="str">
        <f>IFERROR(__xludf.DUMMYFUNCTION("""COMPUTED_VALUE"""),"")</f>
        <v/>
      </c>
      <c r="E9" s="10" t="str">
        <f>IFERROR(__xludf.DUMMYFUNCTION("""COMPUTED_VALUE"""),"Share Form")</f>
        <v>Share Form</v>
      </c>
      <c r="F9" s="10" t="str">
        <f>IFERROR(__xludf.DUMMYFUNCTION("""COMPUTED_VALUE"""),"Share Form")</f>
        <v>Share Form</v>
      </c>
      <c r="G9" s="10" t="str">
        <f>IFERROR(__xludf.DUMMYFUNCTION("""COMPUTED_VALUE"""),"M")</f>
        <v>M</v>
      </c>
      <c r="H9" s="10" t="str">
        <f>IFERROR(__xludf.DUMMYFUNCTION("""COMPUTED_VALUE"""),"Jaikishan")</f>
        <v>Jaikishan</v>
      </c>
      <c r="I9" s="10" t="str">
        <f>IFERROR(__xludf.DUMMYFUNCTION("""COMPUTED_VALUE"""),"Functional")</f>
        <v>Functional</v>
      </c>
      <c r="J9" s="10" t="str">
        <f>IFERROR(__xludf.DUMMYFUNCTION("""COMPUTED_VALUE"""),"1. Form must be created.
2. User has permission of 'Share Form'.
3. Atleast one user should be mapped with that form.")</f>
        <v>1. Form must be created.
2. User has permission of 'Share Form'.
3. Atleast one user should be mapped with that form.</v>
      </c>
      <c r="K9" s="10" t="str">
        <f>IFERROR(__xludf.DUMMYFUNCTION("""COMPUTED_VALUE"""),"Verify, User with ""Analyse"" permission can view Analyse result.")</f>
        <v>Verify, User with "Analyse" permission can view Analyse result.</v>
      </c>
      <c r="L9" s="10" t="str">
        <f>IFERROR(__xludf.DUMMYFUNCTION("""COMPUTED_VALUE"""),"1. Go to manage form list.
2. Click on action icon of any form with 'New' status.
3. Click on 'Share Form'.
4. Go to User account.
5. Click on form list action
6. Check Analyse Result.")</f>
        <v>1. Go to manage form list.
2. Click on action icon of any form with 'New' status.
3. Click on 'Share Form'.
4. Go to User account.
5. Click on form list action
6. Check Analyse Result.</v>
      </c>
      <c r="M9" s="10" t="str">
        <f>IFERROR(__xludf.DUMMYFUNCTION("""COMPUTED_VALUE"""),"User can Analyse result
")</f>
        <v>User can Analyse result
</v>
      </c>
      <c r="N9" s="10" t="str">
        <f>IFERROR(__xludf.DUMMYFUNCTION("""COMPUTED_VALUE"""),"")</f>
        <v/>
      </c>
      <c r="O9" s="10" t="str">
        <f>IFERROR(__xludf.DUMMYFUNCTION("""COMPUTED_VALUE"""),"Analyse Result option not showing.")</f>
        <v>Analyse Result option not showing.</v>
      </c>
      <c r="P9" s="10" t="str">
        <f>IFERROR(__xludf.DUMMYFUNCTION("""COMPUTED_VALUE"""),"Fail")</f>
        <v>Fail</v>
      </c>
      <c r="Q9" s="10" t="str">
        <f>IFERROR(__xludf.DUMMYFUNCTION("""COMPUTED_VALUE"""),"Jaikishan")</f>
        <v>Jaikishan</v>
      </c>
      <c r="R9" s="11">
        <f>IFERROR(__xludf.DUMMYFUNCTION("""COMPUTED_VALUE"""),43796.0)</f>
        <v>43796</v>
      </c>
      <c r="S9" s="10" t="str">
        <f>IFERROR(__xludf.DUMMYFUNCTION("""COMPUTED_VALUE"""),"When status final , Analyse Result option also not showing. (For filter with Action TC)")</f>
        <v>When status final , Analyse Result option also not showing. (For filter with Action TC)</v>
      </c>
      <c r="T9" s="9" t="s">
        <v>10</v>
      </c>
      <c r="U9" s="10"/>
      <c r="V9" s="12" t="s">
        <v>11</v>
      </c>
      <c r="W9" s="9" t="s">
        <v>22</v>
      </c>
      <c r="X9" s="12" t="s">
        <v>36</v>
      </c>
      <c r="Y9" s="10"/>
      <c r="Z9" s="10"/>
    </row>
    <row r="10">
      <c r="A10" s="7" t="str">
        <f>IFERROR(__xludf.DUMMYFUNCTION("""COMPUTED_VALUE"""),"TCJaikishan_dKosh_General_SMF1_008_033")</f>
        <v>TCJaikishan_dKosh_General_SMF1_008_033</v>
      </c>
      <c r="B10" s="7" t="str">
        <f>IFERROR(__xludf.DUMMYFUNCTION("""COMPUTED_VALUE"""),"TP_dKosh_General_SMF1_008")</f>
        <v>TP_dKosh_General_SMF1_008</v>
      </c>
      <c r="C10" s="7">
        <f>IFERROR(__xludf.DUMMYFUNCTION("""COMPUTED_VALUE"""),33.0)</f>
        <v>33</v>
      </c>
      <c r="D10" s="7" t="str">
        <f>IFERROR(__xludf.DUMMYFUNCTION("""COMPUTED_VALUE"""),"")</f>
        <v/>
      </c>
      <c r="E10" s="7" t="str">
        <f>IFERROR(__xludf.DUMMYFUNCTION("""COMPUTED_VALUE"""),"Share Form")</f>
        <v>Share Form</v>
      </c>
      <c r="F10" s="7" t="str">
        <f>IFERROR(__xludf.DUMMYFUNCTION("""COMPUTED_VALUE"""),"Share Form")</f>
        <v>Share Form</v>
      </c>
      <c r="G10" s="7" t="str">
        <f>IFERROR(__xludf.DUMMYFUNCTION("""COMPUTED_VALUE"""),"M")</f>
        <v>M</v>
      </c>
      <c r="H10" s="7" t="str">
        <f>IFERROR(__xludf.DUMMYFUNCTION("""COMPUTED_VALUE"""),"Jaikishan")</f>
        <v>Jaikishan</v>
      </c>
      <c r="I10" s="7" t="str">
        <f>IFERROR(__xludf.DUMMYFUNCTION("""COMPUTED_VALUE"""),"Functional")</f>
        <v>Functional</v>
      </c>
      <c r="J10" s="7" t="str">
        <f>IFERROR(__xludf.DUMMYFUNCTION("""COMPUTED_VALUE"""),"1. Form must be created.
2. User has permission of 'Share Form'.
3. Atleast one user should be mapped with that form.")</f>
        <v>1. Form must be created.
2. User has permission of 'Share Form'.
3. Atleast one user should be mapped with that form.</v>
      </c>
      <c r="K10" s="7" t="str">
        <f>IFERROR(__xludf.DUMMYFUNCTION("""COMPUTED_VALUE"""),"Verify, Owner action and User with Edit permission action same for form.")</f>
        <v>Verify, Owner action and User with Edit permission action same for form.</v>
      </c>
      <c r="L10" s="7" t="str">
        <f>IFERROR(__xludf.DUMMYFUNCTION("""COMPUTED_VALUE"""),"")</f>
        <v/>
      </c>
      <c r="M10" s="7" t="str">
        <f>IFERROR(__xludf.DUMMYFUNCTION("""COMPUTED_VALUE"""),"??")</f>
        <v>??</v>
      </c>
      <c r="N10" s="7" t="str">
        <f>IFERROR(__xludf.DUMMYFUNCTION("""COMPUTED_VALUE"""),"")</f>
        <v/>
      </c>
      <c r="O10" s="7" t="str">
        <f>IFERROR(__xludf.DUMMYFUNCTION("""COMPUTED_VALUE"""),"")</f>
        <v/>
      </c>
      <c r="P10" s="7" t="str">
        <f>IFERROR(__xludf.DUMMYFUNCTION("""COMPUTED_VALUE"""),"?")</f>
        <v>?</v>
      </c>
      <c r="Q10" s="7" t="str">
        <f>IFERROR(__xludf.DUMMYFUNCTION("""COMPUTED_VALUE"""),"Jaikishan")</f>
        <v>Jaikishan</v>
      </c>
      <c r="R10" s="8" t="str">
        <f>IFERROR(__xludf.DUMMYFUNCTION("""COMPUTED_VALUE"""),"")</f>
        <v/>
      </c>
      <c r="S10" s="7" t="str">
        <f>IFERROR(__xludf.DUMMYFUNCTION("""COMPUTED_VALUE"""),"")</f>
        <v/>
      </c>
      <c r="T10" s="9" t="s">
        <v>10</v>
      </c>
      <c r="U10" s="7"/>
      <c r="V10" s="9" t="s">
        <v>11</v>
      </c>
      <c r="W10" s="9" t="s">
        <v>22</v>
      </c>
      <c r="X10" s="9" t="s">
        <v>38</v>
      </c>
      <c r="Y10" s="7"/>
      <c r="Z10" s="7"/>
    </row>
    <row r="11">
      <c r="A11" s="7" t="str">
        <f>IFERROR(__xludf.DUMMYFUNCTION("""COMPUTED_VALUE"""),"TCJaikishan_dKosh_General_SMF1_008_035")</f>
        <v>TCJaikishan_dKosh_General_SMF1_008_035</v>
      </c>
      <c r="B11" s="7" t="str">
        <f>IFERROR(__xludf.DUMMYFUNCTION("""COMPUTED_VALUE"""),"TP_dKosh_General_SMF1_008")</f>
        <v>TP_dKosh_General_SMF1_008</v>
      </c>
      <c r="C11" s="7">
        <f>IFERROR(__xludf.DUMMYFUNCTION("""COMPUTED_VALUE"""),35.0)</f>
        <v>35</v>
      </c>
      <c r="D11" s="7" t="str">
        <f>IFERROR(__xludf.DUMMYFUNCTION("""COMPUTED_VALUE"""),"")</f>
        <v/>
      </c>
      <c r="E11" s="7" t="str">
        <f>IFERROR(__xludf.DUMMYFUNCTION("""COMPUTED_VALUE"""),"Share Form")</f>
        <v>Share Form</v>
      </c>
      <c r="F11" s="7" t="str">
        <f>IFERROR(__xludf.DUMMYFUNCTION("""COMPUTED_VALUE"""),"Share Form")</f>
        <v>Share Form</v>
      </c>
      <c r="G11" s="7" t="str">
        <f>IFERROR(__xludf.DUMMYFUNCTION("""COMPUTED_VALUE"""),"M")</f>
        <v>M</v>
      </c>
      <c r="H11" s="7" t="str">
        <f>IFERROR(__xludf.DUMMYFUNCTION("""COMPUTED_VALUE"""),"Jaikishan")</f>
        <v>Jaikishan</v>
      </c>
      <c r="I11" s="7" t="str">
        <f>IFERROR(__xludf.DUMMYFUNCTION("""COMPUTED_VALUE"""),"Functional")</f>
        <v>Functional</v>
      </c>
      <c r="J11" s="7" t="str">
        <f>IFERROR(__xludf.DUMMYFUNCTION("""COMPUTED_VALUE"""),"1. Form must be created.
2. User has permission of 'Share Form'.
3. Atleast one user should be mapped with that form.")</f>
        <v>1. Form must be created.
2. User has permission of 'Share Form'.
3. Atleast one user should be mapped with that form.</v>
      </c>
      <c r="K11" s="7" t="str">
        <f>IFERROR(__xludf.DUMMYFUNCTION("""COMPUTED_VALUE"""),"Veriy, User with Edit permission Manage the Respondent of the form.")</f>
        <v>Veriy, User with Edit permission Manage the Respondent of the form.</v>
      </c>
      <c r="L11" s="7" t="str">
        <f>IFERROR(__xludf.DUMMYFUNCTION("""COMPUTED_VALUE"""),"1. Go to manage form list.
2. Click on action icon of any form with 'New' status.
3. Click on 'Share Form'.
4. Go to User account.
5. Manage Respondent.
6. Click on SAve.")</f>
        <v>1. Go to manage form list.
2. Click on action icon of any form with 'New' status.
3. Click on 'Share Form'.
4. Go to User account.
5. Manage Respondent.
6. Click on SAve.</v>
      </c>
      <c r="M11" s="7" t="str">
        <f>IFERROR(__xludf.DUMMYFUNCTION("""COMPUTED_VALUE"""),"manage respondent should reflect to all user of that form.")</f>
        <v>manage respondent should reflect to all user of that form.</v>
      </c>
      <c r="N11" s="7" t="str">
        <f>IFERROR(__xludf.DUMMYFUNCTION("""COMPUTED_VALUE"""),"")</f>
        <v/>
      </c>
      <c r="O11" s="7" t="str">
        <f>IFERROR(__xludf.DUMMYFUNCTION("""COMPUTED_VALUE"""),"Manage respondent reflected to all shared user.
But it is clickable in Analyse user.")</f>
        <v>Manage respondent reflected to all shared user.
But it is clickable in Analyse user.</v>
      </c>
      <c r="P11" s="7" t="str">
        <f>IFERROR(__xludf.DUMMYFUNCTION("""COMPUTED_VALUE"""),"Fail")</f>
        <v>Fail</v>
      </c>
      <c r="Q11" s="7" t="str">
        <f>IFERROR(__xludf.DUMMYFUNCTION("""COMPUTED_VALUE"""),"Jaikishan")</f>
        <v>Jaikishan</v>
      </c>
      <c r="R11" s="8" t="str">
        <f>IFERROR(__xludf.DUMMYFUNCTION("""COMPUTED_VALUE"""),"")</f>
        <v/>
      </c>
      <c r="S11" s="7" t="str">
        <f>IFERROR(__xludf.DUMMYFUNCTION("""COMPUTED_VALUE"""),"")</f>
        <v/>
      </c>
      <c r="T11" s="9" t="s">
        <v>10</v>
      </c>
      <c r="U11" s="7"/>
      <c r="V11" s="9" t="s">
        <v>41</v>
      </c>
      <c r="W11" s="9" t="s">
        <v>22</v>
      </c>
      <c r="X11" s="9" t="s">
        <v>42</v>
      </c>
      <c r="Y11" s="7"/>
      <c r="Z11" s="7"/>
    </row>
    <row r="12">
      <c r="A12" s="7" t="str">
        <f>IFERROR(__xludf.DUMMYFUNCTION("""COMPUTED_VALUE"""),"TCJaikishan_dKosh_General_SMF1_008_036")</f>
        <v>TCJaikishan_dKosh_General_SMF1_008_036</v>
      </c>
      <c r="B12" s="7" t="str">
        <f>IFERROR(__xludf.DUMMYFUNCTION("""COMPUTED_VALUE"""),"TP_dKosh_General_SMF1_008")</f>
        <v>TP_dKosh_General_SMF1_008</v>
      </c>
      <c r="C12" s="7">
        <f>IFERROR(__xludf.DUMMYFUNCTION("""COMPUTED_VALUE"""),36.0)</f>
        <v>36</v>
      </c>
      <c r="D12" s="7" t="str">
        <f>IFERROR(__xludf.DUMMYFUNCTION("""COMPUTED_VALUE"""),"")</f>
        <v/>
      </c>
      <c r="E12" s="7" t="str">
        <f>IFERROR(__xludf.DUMMYFUNCTION("""COMPUTED_VALUE"""),"Share Form")</f>
        <v>Share Form</v>
      </c>
      <c r="F12" s="7" t="str">
        <f>IFERROR(__xludf.DUMMYFUNCTION("""COMPUTED_VALUE"""),"Share Form")</f>
        <v>Share Form</v>
      </c>
      <c r="G12" s="7" t="str">
        <f>IFERROR(__xludf.DUMMYFUNCTION("""COMPUTED_VALUE"""),"M")</f>
        <v>M</v>
      </c>
      <c r="H12" s="7" t="str">
        <f>IFERROR(__xludf.DUMMYFUNCTION("""COMPUTED_VALUE"""),"Jaikishan")</f>
        <v>Jaikishan</v>
      </c>
      <c r="I12" s="7" t="str">
        <f>IFERROR(__xludf.DUMMYFUNCTION("""COMPUTED_VALUE"""),"Functional")</f>
        <v>Functional</v>
      </c>
      <c r="J12" s="7" t="str">
        <f>IFERROR(__xludf.DUMMYFUNCTION("""COMPUTED_VALUE"""),"1. Form must be created.
2. User has permission of 'Share Form'.
3. Atleast one user should be mapped with that form.")</f>
        <v>1. Form must be created.
2. User has permission of 'Share Form'.
3. Atleast one user should be mapped with that form.</v>
      </c>
      <c r="K12" s="7" t="str">
        <f>IFERROR(__xludf.DUMMYFUNCTION("""COMPUTED_VALUE"""),"Veriy, User with Edit permission can Delete the form.")</f>
        <v>Veriy, User with Edit permission can Delete the form.</v>
      </c>
      <c r="L12" s="7" t="str">
        <f>IFERROR(__xludf.DUMMYFUNCTION("""COMPUTED_VALUE"""),"1. Go to manage form list.
2. Click on action icon of any form with 'New' status.
3. Click on 'Share Form'.
4. Go to User account.
5. Delete Form
6. Click on SAve.")</f>
        <v>1. Go to manage form list.
2. Click on action icon of any form with 'New' status.
3. Click on 'Share Form'.
4. Go to User account.
5. Delete Form
6. Click on SAve.</v>
      </c>
      <c r="M12" s="7" t="str">
        <f>IFERROR(__xludf.DUMMYFUNCTION("""COMPUTED_VALUE"""),"Form should be deleted from all shared users.")</f>
        <v>Form should be deleted from all shared users.</v>
      </c>
      <c r="N12" s="7" t="str">
        <f>IFERROR(__xludf.DUMMYFUNCTION("""COMPUTED_VALUE"""),"")</f>
        <v/>
      </c>
      <c r="O12" s="7" t="str">
        <f>IFERROR(__xludf.DUMMYFUNCTION("""COMPUTED_VALUE"""),"Form not deleted showing error ""This short name exists.""")</f>
        <v>Form not deleted showing error "This short name exists."</v>
      </c>
      <c r="P12" s="7" t="str">
        <f>IFERROR(__xludf.DUMMYFUNCTION("""COMPUTED_VALUE"""),"Fail")</f>
        <v>Fail</v>
      </c>
      <c r="Q12" s="7" t="str">
        <f>IFERROR(__xludf.DUMMYFUNCTION("""COMPUTED_VALUE"""),"Jaikishan")</f>
        <v>Jaikishan</v>
      </c>
      <c r="R12" s="8" t="str">
        <f>IFERROR(__xludf.DUMMYFUNCTION("""COMPUTED_VALUE"""),"")</f>
        <v/>
      </c>
      <c r="S12" s="7" t="str">
        <f>IFERROR(__xludf.DUMMYFUNCTION("""COMPUTED_VALUE"""),"")</f>
        <v/>
      </c>
      <c r="T12" s="9" t="s">
        <v>10</v>
      </c>
      <c r="U12" s="7"/>
      <c r="V12" s="9" t="s">
        <v>11</v>
      </c>
      <c r="W12" s="9" t="s">
        <v>22</v>
      </c>
      <c r="X12" s="9" t="s">
        <v>42</v>
      </c>
      <c r="Y12" s="7"/>
      <c r="Z12" s="7"/>
    </row>
    <row r="13">
      <c r="A13" s="7" t="str">
        <f>IFERROR(__xludf.DUMMYFUNCTION("""COMPUTED_VALUE"""),"TCJaikishan_dKosh_General_SMF1_008_037")</f>
        <v>TCJaikishan_dKosh_General_SMF1_008_037</v>
      </c>
      <c r="B13" s="7" t="str">
        <f>IFERROR(__xludf.DUMMYFUNCTION("""COMPUTED_VALUE"""),"TP_dKosh_General_SMF1_008")</f>
        <v>TP_dKosh_General_SMF1_008</v>
      </c>
      <c r="C13" s="7">
        <f>IFERROR(__xludf.DUMMYFUNCTION("""COMPUTED_VALUE"""),37.0)</f>
        <v>37</v>
      </c>
      <c r="D13" s="7" t="str">
        <f>IFERROR(__xludf.DUMMYFUNCTION("""COMPUTED_VALUE"""),"")</f>
        <v/>
      </c>
      <c r="E13" s="7" t="str">
        <f>IFERROR(__xludf.DUMMYFUNCTION("""COMPUTED_VALUE"""),"Share Form")</f>
        <v>Share Form</v>
      </c>
      <c r="F13" s="7" t="str">
        <f>IFERROR(__xludf.DUMMYFUNCTION("""COMPUTED_VALUE"""),"Share Form")</f>
        <v>Share Form</v>
      </c>
      <c r="G13" s="7" t="str">
        <f>IFERROR(__xludf.DUMMYFUNCTION("""COMPUTED_VALUE"""),"M")</f>
        <v>M</v>
      </c>
      <c r="H13" s="7" t="str">
        <f>IFERROR(__xludf.DUMMYFUNCTION("""COMPUTED_VALUE"""),"Jaikishan")</f>
        <v>Jaikishan</v>
      </c>
      <c r="I13" s="7" t="str">
        <f>IFERROR(__xludf.DUMMYFUNCTION("""COMPUTED_VALUE"""),"Functional")</f>
        <v>Functional</v>
      </c>
      <c r="J13" s="7" t="str">
        <f>IFERROR(__xludf.DUMMYFUNCTION("""COMPUTED_VALUE"""),"1. Form must be created.
2. User has permission of 'Share Form'.
3. Atleast one user should be mapped with that form.")</f>
        <v>1. Form must be created.
2. User has permission of 'Share Form'.
3. Atleast one user should be mapped with that form.</v>
      </c>
      <c r="K13" s="7" t="str">
        <f>IFERROR(__xludf.DUMMYFUNCTION("""COMPUTED_VALUE"""),"Verify, Owner, when owner give ""is Owner"" permission to multiple users. ")</f>
        <v>Verify, Owner, when owner give "is Owner" permission to multiple users. </v>
      </c>
      <c r="L13" s="7" t="str">
        <f>IFERROR(__xludf.DUMMYFUNCTION("""COMPUTED_VALUE"""),"1. Go to manage form list.
2. Click on action icon of any form with 'New' status.
3. Click on 'Share Form'.
4. Give ""Is owner"" permission to multiple users.
5. Click on ""ok"" button")</f>
        <v>1. Go to manage form list.
2. Click on action icon of any form with 'New' status.
3. Click on 'Share Form'.
4. Give "Is owner" permission to multiple users.
5. Click on "ok" button</v>
      </c>
      <c r="M13" s="7" t="str">
        <f>IFERROR(__xludf.DUMMYFUNCTION("""COMPUTED_VALUE"""),"??")</f>
        <v>??</v>
      </c>
      <c r="N13" s="7" t="str">
        <f>IFERROR(__xludf.DUMMYFUNCTION("""COMPUTED_VALUE"""),"Only one owner should be show at a time.")</f>
        <v>Only one owner should be show at a time.</v>
      </c>
      <c r="O13" s="7" t="str">
        <f>IFERROR(__xludf.DUMMYFUNCTION("""COMPUTED_VALUE"""),"It give to multiple user.")</f>
        <v>It give to multiple user.</v>
      </c>
      <c r="P13" s="7" t="str">
        <f>IFERROR(__xludf.DUMMYFUNCTION("""COMPUTED_VALUE"""),"Fail")</f>
        <v>Fail</v>
      </c>
      <c r="Q13" s="7" t="str">
        <f>IFERROR(__xludf.DUMMYFUNCTION("""COMPUTED_VALUE"""),"Jaikishan")</f>
        <v>Jaikishan</v>
      </c>
      <c r="R13" s="8" t="str">
        <f>IFERROR(__xludf.DUMMYFUNCTION("""COMPUTED_VALUE"""),"")</f>
        <v/>
      </c>
      <c r="S13" s="7" t="str">
        <f>IFERROR(__xludf.DUMMYFUNCTION("""COMPUTED_VALUE"""),"")</f>
        <v/>
      </c>
      <c r="T13" s="9" t="s">
        <v>10</v>
      </c>
      <c r="U13" s="7"/>
      <c r="V13" s="9" t="s">
        <v>11</v>
      </c>
      <c r="W13" s="9" t="s">
        <v>22</v>
      </c>
      <c r="X13" s="7"/>
      <c r="Y13" s="7"/>
      <c r="Z13" s="7"/>
    </row>
    <row r="14">
      <c r="A14" s="7" t="str">
        <f>IFERROR(__xludf.DUMMYFUNCTION("""COMPUTED_VALUE"""),"TCJaikishan_dKosh_General_SMF1_008_038")</f>
        <v>TCJaikishan_dKosh_General_SMF1_008_038</v>
      </c>
      <c r="B14" s="7" t="str">
        <f>IFERROR(__xludf.DUMMYFUNCTION("""COMPUTED_VALUE"""),"TP_dKosh_General_SMF1_008")</f>
        <v>TP_dKosh_General_SMF1_008</v>
      </c>
      <c r="C14" s="7">
        <f>IFERROR(__xludf.DUMMYFUNCTION("""COMPUTED_VALUE"""),38.0)</f>
        <v>38</v>
      </c>
      <c r="D14" s="7" t="str">
        <f>IFERROR(__xludf.DUMMYFUNCTION("""COMPUTED_VALUE"""),"")</f>
        <v/>
      </c>
      <c r="E14" s="7" t="str">
        <f>IFERROR(__xludf.DUMMYFUNCTION("""COMPUTED_VALUE"""),"Share Form")</f>
        <v>Share Form</v>
      </c>
      <c r="F14" s="7" t="str">
        <f>IFERROR(__xludf.DUMMYFUNCTION("""COMPUTED_VALUE"""),"Share Form")</f>
        <v>Share Form</v>
      </c>
      <c r="G14" s="7" t="str">
        <f>IFERROR(__xludf.DUMMYFUNCTION("""COMPUTED_VALUE"""),"M")</f>
        <v>M</v>
      </c>
      <c r="H14" s="7" t="str">
        <f>IFERROR(__xludf.DUMMYFUNCTION("""COMPUTED_VALUE"""),"Jaikishan")</f>
        <v>Jaikishan</v>
      </c>
      <c r="I14" s="7" t="str">
        <f>IFERROR(__xludf.DUMMYFUNCTION("""COMPUTED_VALUE"""),"Functional")</f>
        <v>Functional</v>
      </c>
      <c r="J14" s="7" t="str">
        <f>IFERROR(__xludf.DUMMYFUNCTION("""COMPUTED_VALUE"""),"1. Form must be created.
2. User has permission of 'Share Form'.
3. Atleast one user should be mapped with that form.")</f>
        <v>1. Form must be created.
2. User has permission of 'Share Form'.
3. Atleast one user should be mapped with that form.</v>
      </c>
      <c r="K14" s="7" t="str">
        <f>IFERROR(__xludf.DUMMYFUNCTION("""COMPUTED_VALUE"""),"Verify, Multiple Owner can have a same permission. ")</f>
        <v>Verify, Multiple Owner can have a same permission. </v>
      </c>
      <c r="L14" s="7" t="str">
        <f>IFERROR(__xludf.DUMMYFUNCTION("""COMPUTED_VALUE"""),"")</f>
        <v/>
      </c>
      <c r="M14" s="7" t="str">
        <f>IFERROR(__xludf.DUMMYFUNCTION("""COMPUTED_VALUE"""),"1. Multiple Owner cannot create.
2. If Create , then all owner have a same permission.")</f>
        <v>1. Multiple Owner cannot create.
2. If Create , then all owner have a same permission.</v>
      </c>
      <c r="N14" s="7" t="str">
        <f>IFERROR(__xludf.DUMMYFUNCTION("""COMPUTED_VALUE"""),"")</f>
        <v/>
      </c>
      <c r="O14" s="7" t="str">
        <f>IFERROR(__xludf.DUMMYFUNCTION("""COMPUTED_VALUE"""),"Second owner cannot change user permission to is ""Owner'")</f>
        <v>Second owner cannot change user permission to is "Owner'</v>
      </c>
      <c r="P14" s="7" t="str">
        <f>IFERROR(__xludf.DUMMYFUNCTION("""COMPUTED_VALUE"""),"Fail")</f>
        <v>Fail</v>
      </c>
      <c r="Q14" s="7" t="str">
        <f>IFERROR(__xludf.DUMMYFUNCTION("""COMPUTED_VALUE"""),"Jaikishan")</f>
        <v>Jaikishan</v>
      </c>
      <c r="R14" s="8">
        <f>IFERROR(__xludf.DUMMYFUNCTION("""COMPUTED_VALUE"""),43796.0)</f>
        <v>43796</v>
      </c>
      <c r="S14" s="7" t="str">
        <f>IFERROR(__xludf.DUMMYFUNCTION("""COMPUTED_VALUE"""),"")</f>
        <v/>
      </c>
      <c r="T14" s="9" t="s">
        <v>10</v>
      </c>
      <c r="U14" s="7"/>
      <c r="V14" s="9" t="s">
        <v>11</v>
      </c>
      <c r="W14" s="9" t="s">
        <v>22</v>
      </c>
      <c r="X14" s="7"/>
      <c r="Y14" s="7"/>
      <c r="Z14" s="7"/>
    </row>
    <row r="15">
      <c r="A15" s="7" t="str">
        <f>IFERROR(__xludf.DUMMYFUNCTION("""COMPUTED_VALUE"""),"TCJaikishan_dKosh_General_SMF1_008_039")</f>
        <v>TCJaikishan_dKosh_General_SMF1_008_039</v>
      </c>
      <c r="B15" s="7" t="str">
        <f>IFERROR(__xludf.DUMMYFUNCTION("""COMPUTED_VALUE"""),"TP_dKosh_General_SMF1_008")</f>
        <v>TP_dKosh_General_SMF1_008</v>
      </c>
      <c r="C15" s="7">
        <f>IFERROR(__xludf.DUMMYFUNCTION("""COMPUTED_VALUE"""),39.0)</f>
        <v>39</v>
      </c>
      <c r="D15" s="7" t="str">
        <f>IFERROR(__xludf.DUMMYFUNCTION("""COMPUTED_VALUE"""),"")</f>
        <v/>
      </c>
      <c r="E15" s="7" t="str">
        <f>IFERROR(__xludf.DUMMYFUNCTION("""COMPUTED_VALUE"""),"Share Form")</f>
        <v>Share Form</v>
      </c>
      <c r="F15" s="7" t="str">
        <f>IFERROR(__xludf.DUMMYFUNCTION("""COMPUTED_VALUE"""),"Share Form")</f>
        <v>Share Form</v>
      </c>
      <c r="G15" s="7" t="str">
        <f>IFERROR(__xludf.DUMMYFUNCTION("""COMPUTED_VALUE"""),"M")</f>
        <v>M</v>
      </c>
      <c r="H15" s="7" t="str">
        <f>IFERROR(__xludf.DUMMYFUNCTION("""COMPUTED_VALUE"""),"Jaikishan")</f>
        <v>Jaikishan</v>
      </c>
      <c r="I15" s="7" t="str">
        <f>IFERROR(__xludf.DUMMYFUNCTION("""COMPUTED_VALUE"""),"Functional")</f>
        <v>Functional</v>
      </c>
      <c r="J15" s="7" t="str">
        <f>IFERROR(__xludf.DUMMYFUNCTION("""COMPUTED_VALUE"""),"1. Form must be created.
2. User has permission of 'Share Form'.
3. Atleast one user should be mapped with that form.")</f>
        <v>1. Form must be created.
2. User has permission of 'Share Form'.
3. Atleast one user should be mapped with that form.</v>
      </c>
      <c r="K15" s="7" t="str">
        <f>IFERROR(__xludf.DUMMYFUNCTION("""COMPUTED_VALUE"""),"Verify, owner can remove another owner.")</f>
        <v>Verify, owner can remove another owner.</v>
      </c>
      <c r="L15" s="7" t="str">
        <f>IFERROR(__xludf.DUMMYFUNCTION("""COMPUTED_VALUE"""),"")</f>
        <v/>
      </c>
      <c r="M15" s="7" t="str">
        <f>IFERROR(__xludf.DUMMYFUNCTION("""COMPUTED_VALUE"""),"1. Multiple Owner cannot create.
2. If Create , then owner have a permission to remove another owner.")</f>
        <v>1. Multiple Owner cannot create.
2. If Create , then owner have a permission to remove another owner.</v>
      </c>
      <c r="N15" s="7" t="str">
        <f>IFERROR(__xludf.DUMMYFUNCTION("""COMPUTED_VALUE"""),"")</f>
        <v/>
      </c>
      <c r="O15" s="7" t="str">
        <f>IFERROR(__xludf.DUMMYFUNCTION("""COMPUTED_VALUE"""),"")</f>
        <v/>
      </c>
      <c r="P15" s="7" t="str">
        <f>IFERROR(__xludf.DUMMYFUNCTION("""COMPUTED_VALUE"""),"Fail")</f>
        <v>Fail</v>
      </c>
      <c r="Q15" s="7" t="str">
        <f>IFERROR(__xludf.DUMMYFUNCTION("""COMPUTED_VALUE"""),"Jaikishan")</f>
        <v>Jaikishan</v>
      </c>
      <c r="R15" s="8">
        <f>IFERROR(__xludf.DUMMYFUNCTION("""COMPUTED_VALUE"""),43796.0)</f>
        <v>43796</v>
      </c>
      <c r="S15" s="7" t="str">
        <f>IFERROR(__xludf.DUMMYFUNCTION("""COMPUTED_VALUE"""),"")</f>
        <v/>
      </c>
      <c r="T15" s="9" t="s">
        <v>10</v>
      </c>
      <c r="U15" s="7"/>
      <c r="V15" s="9" t="s">
        <v>11</v>
      </c>
      <c r="W15" s="9" t="s">
        <v>22</v>
      </c>
      <c r="X15" s="7"/>
      <c r="Y15" s="7"/>
      <c r="Z15" s="7"/>
    </row>
    <row r="16">
      <c r="A16" s="7" t="str">
        <f>IFERROR(__xludf.DUMMYFUNCTION("""COMPUTED_VALUE"""),"TCJaikishan_dKosh_General_SMF1_008_040")</f>
        <v>TCJaikishan_dKosh_General_SMF1_008_040</v>
      </c>
      <c r="B16" s="7" t="str">
        <f>IFERROR(__xludf.DUMMYFUNCTION("""COMPUTED_VALUE"""),"TP_dKosh_General_SMF1_008")</f>
        <v>TP_dKosh_General_SMF1_008</v>
      </c>
      <c r="C16" s="7">
        <f>IFERROR(__xludf.DUMMYFUNCTION("""COMPUTED_VALUE"""),40.0)</f>
        <v>40</v>
      </c>
      <c r="D16" s="7" t="str">
        <f>IFERROR(__xludf.DUMMYFUNCTION("""COMPUTED_VALUE"""),"")</f>
        <v/>
      </c>
      <c r="E16" s="7" t="str">
        <f>IFERROR(__xludf.DUMMYFUNCTION("""COMPUTED_VALUE"""),"Share Form")</f>
        <v>Share Form</v>
      </c>
      <c r="F16" s="7" t="str">
        <f>IFERROR(__xludf.DUMMYFUNCTION("""COMPUTED_VALUE"""),"Share Form")</f>
        <v>Share Form</v>
      </c>
      <c r="G16" s="7" t="str">
        <f>IFERROR(__xludf.DUMMYFUNCTION("""COMPUTED_VALUE"""),"M")</f>
        <v>M</v>
      </c>
      <c r="H16" s="7" t="str">
        <f>IFERROR(__xludf.DUMMYFUNCTION("""COMPUTED_VALUE"""),"Jaikishan")</f>
        <v>Jaikishan</v>
      </c>
      <c r="I16" s="7" t="str">
        <f>IFERROR(__xludf.DUMMYFUNCTION("""COMPUTED_VALUE"""),"Functional")</f>
        <v>Functional</v>
      </c>
      <c r="J16" s="7" t="str">
        <f>IFERROR(__xludf.DUMMYFUNCTION("""COMPUTED_VALUE"""),"1. Form must be created.
2. User has permission of 'Share Form'.
3. Atleast one user should be mapped with that form.")</f>
        <v>1. Form must be created.
2. User has permission of 'Share Form'.
3. Atleast one user should be mapped with that form.</v>
      </c>
      <c r="K16" s="7" t="str">
        <f>IFERROR(__xludf.DUMMYFUNCTION("""COMPUTED_VALUE"""),"Verify, ""Acknowledge Message"" after click on ""ok"" button")</f>
        <v>Verify, "Acknowledge Message" after click on "ok" button</v>
      </c>
      <c r="L16" s="7" t="str">
        <f>IFERROR(__xludf.DUMMYFUNCTION("""COMPUTED_VALUE"""),"1. Go to manage form list.
2. Click on action icon of any form with 'New' status.
3. Click on 'Share Form'.
5. Click on ""ok"" button")</f>
        <v>1. Go to manage form list.
2. Click on action icon of any form with 'New' status.
3. Click on 'Share Form'.
5. Click on "ok" button</v>
      </c>
      <c r="M16" s="7" t="str">
        <f>IFERROR(__xludf.DUMMYFUNCTION("""COMPUTED_VALUE"""),"Message ""Saved successfully"" should be showing.")</f>
        <v>Message "Saved successfully" should be showing.</v>
      </c>
      <c r="N16" s="7" t="str">
        <f>IFERROR(__xludf.DUMMYFUNCTION("""COMPUTED_VALUE"""),"")</f>
        <v/>
      </c>
      <c r="O16" s="7" t="str">
        <f>IFERROR(__xludf.DUMMYFUNCTION("""COMPUTED_VALUE"""),"Message ""Form shared successfully."" showing.")</f>
        <v>Message "Form shared successfully." showing.</v>
      </c>
      <c r="P16" s="7" t="str">
        <f>IFERROR(__xludf.DUMMYFUNCTION("""COMPUTED_VALUE"""),"Fail")</f>
        <v>Fail</v>
      </c>
      <c r="Q16" s="7" t="str">
        <f>IFERROR(__xludf.DUMMYFUNCTION("""COMPUTED_VALUE"""),"Jaikishan")</f>
        <v>Jaikishan</v>
      </c>
      <c r="R16" s="8">
        <f>IFERROR(__xludf.DUMMYFUNCTION("""COMPUTED_VALUE"""),43796.0)</f>
        <v>43796</v>
      </c>
      <c r="S16" s="7" t="str">
        <f>IFERROR(__xludf.DUMMYFUNCTION("""COMPUTED_VALUE"""),"")</f>
        <v/>
      </c>
      <c r="T16" s="9" t="s">
        <v>10</v>
      </c>
      <c r="U16" s="7"/>
      <c r="V16" s="9" t="s">
        <v>48</v>
      </c>
      <c r="W16" s="9" t="s">
        <v>22</v>
      </c>
      <c r="X16" s="9" t="s">
        <v>49</v>
      </c>
      <c r="Y16" s="7"/>
      <c r="Z16" s="7"/>
    </row>
    <row r="17">
      <c r="A17" s="16" t="str">
        <f>IFERROR(__xludf.DUMMYFUNCTION("""COMPUTED_VALUE"""),"TCJaikishan_dKosh_General_SMF1_008_041")</f>
        <v>TCJaikishan_dKosh_General_SMF1_008_041</v>
      </c>
      <c r="B17" s="16" t="str">
        <f>IFERROR(__xludf.DUMMYFUNCTION("""COMPUTED_VALUE"""),"TP_dKosh_General_SMF1_008")</f>
        <v>TP_dKosh_General_SMF1_008</v>
      </c>
      <c r="C17" s="16">
        <f>IFERROR(__xludf.DUMMYFUNCTION("""COMPUTED_VALUE"""),41.0)</f>
        <v>41</v>
      </c>
      <c r="D17" s="16" t="str">
        <f>IFERROR(__xludf.DUMMYFUNCTION("""COMPUTED_VALUE"""),"")</f>
        <v/>
      </c>
      <c r="E17" s="16" t="str">
        <f>IFERROR(__xludf.DUMMYFUNCTION("""COMPUTED_VALUE"""),"Share Form")</f>
        <v>Share Form</v>
      </c>
      <c r="F17" s="16" t="str">
        <f>IFERROR(__xludf.DUMMYFUNCTION("""COMPUTED_VALUE"""),"Share Form")</f>
        <v>Share Form</v>
      </c>
      <c r="G17" s="16" t="str">
        <f>IFERROR(__xludf.DUMMYFUNCTION("""COMPUTED_VALUE"""),"M")</f>
        <v>M</v>
      </c>
      <c r="H17" s="16" t="str">
        <f>IFERROR(__xludf.DUMMYFUNCTION("""COMPUTED_VALUE"""),"Jaikishan")</f>
        <v>Jaikishan</v>
      </c>
      <c r="I17" s="16" t="str">
        <f>IFERROR(__xludf.DUMMYFUNCTION("""COMPUTED_VALUE"""),"Functional")</f>
        <v>Functional</v>
      </c>
      <c r="J17" s="16" t="str">
        <f>IFERROR(__xludf.DUMMYFUNCTION("""COMPUTED_VALUE"""),"1. Form must be created.
2. User has permission of 'Share Form'.
3. Atleast one user should be mapped with that form.")</f>
        <v>1. Form must be created.
2. User has permission of 'Share Form'.
3. Atleast one user should be mapped with that form.</v>
      </c>
      <c r="K17" s="16" t="str">
        <f>IFERROR(__xludf.DUMMYFUNCTION("""COMPUTED_VALUE"""),"Verify, ""Acknowledge Message"" after modify permission of users.")</f>
        <v>Verify, "Acknowledge Message" after modify permission of users.</v>
      </c>
      <c r="L17" s="16" t="str">
        <f>IFERROR(__xludf.DUMMYFUNCTION("""COMPUTED_VALUE"""),"1. Go to manage form list.
2. Click on action icon of any form with 'New' status.
3. Click on 'Share Form'.
5. Click on ""ok"" button")</f>
        <v>1. Go to manage form list.
2. Click on action icon of any form with 'New' status.
3. Click on 'Share Form'.
5. Click on "ok" button</v>
      </c>
      <c r="M17" s="16" t="str">
        <f>IFERROR(__xludf.DUMMYFUNCTION("""COMPUTED_VALUE"""),"Message ""Saved successfully"" should be showing.")</f>
        <v>Message "Saved successfully" should be showing.</v>
      </c>
      <c r="N17" s="16" t="str">
        <f>IFERROR(__xludf.DUMMYFUNCTION("""COMPUTED_VALUE"""),"")</f>
        <v/>
      </c>
      <c r="O17" s="16" t="str">
        <f>IFERROR(__xludf.DUMMYFUNCTION("""COMPUTED_VALUE"""),"Message ""Form shared successfully."" showing.")</f>
        <v>Message "Form shared successfully." showing.</v>
      </c>
      <c r="P17" s="16" t="str">
        <f>IFERROR(__xludf.DUMMYFUNCTION("""COMPUTED_VALUE"""),"Fail")</f>
        <v>Fail</v>
      </c>
      <c r="Q17" s="16" t="str">
        <f>IFERROR(__xludf.DUMMYFUNCTION("""COMPUTED_VALUE"""),"Jaikishan")</f>
        <v>Jaikishan</v>
      </c>
      <c r="R17" s="17">
        <f>IFERROR(__xludf.DUMMYFUNCTION("""COMPUTED_VALUE"""),43796.0)</f>
        <v>43796</v>
      </c>
      <c r="S17" s="16" t="str">
        <f>IFERROR(__xludf.DUMMYFUNCTION("""COMPUTED_VALUE"""),"")</f>
        <v/>
      </c>
      <c r="T17" s="18" t="s">
        <v>10</v>
      </c>
      <c r="U17" s="16"/>
      <c r="V17" s="18" t="s">
        <v>11</v>
      </c>
      <c r="W17" s="18" t="s">
        <v>22</v>
      </c>
      <c r="X17" s="18" t="s">
        <v>52</v>
      </c>
      <c r="Y17" s="16"/>
      <c r="Z17" s="16"/>
    </row>
    <row r="18">
      <c r="A18" s="7" t="str">
        <f>IFERROR(__xludf.DUMMYFUNCTION("""COMPUTED_VALUE"""),"TCJaikishan_dKosh_General_SMF1_009_041")</f>
        <v>TCJaikishan_dKosh_General_SMF1_009_041</v>
      </c>
      <c r="B18" s="7" t="str">
        <f>IFERROR(__xludf.DUMMYFUNCTION("""COMPUTED_VALUE"""),"TP_dKosh_General_SMF1_009")</f>
        <v>TP_dKosh_General_SMF1_009</v>
      </c>
      <c r="C18" s="7">
        <f>IFERROR(__xludf.DUMMYFUNCTION("""COMPUTED_VALUE"""),41.0)</f>
        <v>41</v>
      </c>
      <c r="D18" s="7" t="str">
        <f>IFERROR(__xludf.DUMMYFUNCTION("""COMPUTED_VALUE"""),"")</f>
        <v/>
      </c>
      <c r="E18" s="7" t="str">
        <f>IFERROR(__xludf.DUMMYFUNCTION("""COMPUTED_VALUE"""),"Share Form")</f>
        <v>Share Form</v>
      </c>
      <c r="F18" s="7" t="str">
        <f>IFERROR(__xludf.DUMMYFUNCTION("""COMPUTED_VALUE"""),"Share Form")</f>
        <v>Share Form</v>
      </c>
      <c r="G18" s="7" t="str">
        <f>IFERROR(__xludf.DUMMYFUNCTION("""COMPUTED_VALUE"""),"M")</f>
        <v>M</v>
      </c>
      <c r="H18" s="7" t="str">
        <f>IFERROR(__xludf.DUMMYFUNCTION("""COMPUTED_VALUE"""),"Jaikishan")</f>
        <v>Jaikishan</v>
      </c>
      <c r="I18" s="7" t="str">
        <f>IFERROR(__xludf.DUMMYFUNCTION("""COMPUTED_VALUE"""),"Functional")</f>
        <v>Functional</v>
      </c>
      <c r="J18" s="7" t="str">
        <f>IFERROR(__xludf.DUMMYFUNCTION("""COMPUTED_VALUE"""),"")</f>
        <v/>
      </c>
      <c r="K18" s="7" t="str">
        <f>IFERROR(__xludf.DUMMYFUNCTION("""COMPUTED_VALUE"""),"Verify, Ok button when no user is selected in user field")</f>
        <v>Verify, Ok button when no user is selected in user field</v>
      </c>
      <c r="L18" s="7" t="str">
        <f>IFERROR(__xludf.DUMMYFUNCTION("""COMPUTED_VALUE"""),"1. Go to manage form list.
2. Click on action icon of any form with 'New' status.
3. Click on 'Share Form'.
5. Click on ""ok"" button")</f>
        <v>1. Go to manage form list.
2. Click on action icon of any form with 'New' status.
3. Click on 'Share Form'.
5. Click on "ok" button</v>
      </c>
      <c r="M18" s="7" t="str">
        <f>IFERROR(__xludf.DUMMYFUNCTION("""COMPUTED_VALUE"""),"Form should not close, or error message like ""Please select atleast one user""")</f>
        <v>Form should not close, or error message like "Please select atleast one user"</v>
      </c>
      <c r="N18" s="7" t="str">
        <f>IFERROR(__xludf.DUMMYFUNCTION("""COMPUTED_VALUE"""),"")</f>
        <v/>
      </c>
      <c r="O18" s="7" t="str">
        <f>IFERROR(__xludf.DUMMYFUNCTION("""COMPUTED_VALUE"""),"Message ""Form shared successfully."" showing.")</f>
        <v>Message "Form shared successfully." showing.</v>
      </c>
      <c r="P18" s="7" t="str">
        <f>IFERROR(__xludf.DUMMYFUNCTION("""COMPUTED_VALUE"""),"Fail")</f>
        <v>Fail</v>
      </c>
      <c r="Q18" s="7" t="str">
        <f>IFERROR(__xludf.DUMMYFUNCTION("""COMPUTED_VALUE"""),"Jaikishan")</f>
        <v>Jaikishan</v>
      </c>
      <c r="R18" s="8">
        <f>IFERROR(__xludf.DUMMYFUNCTION("""COMPUTED_VALUE"""),43797.0)</f>
        <v>43797</v>
      </c>
      <c r="S18" s="7" t="str">
        <f>IFERROR(__xludf.DUMMYFUNCTION("""COMPUTED_VALUE"""),"")</f>
        <v/>
      </c>
      <c r="T18" s="7"/>
      <c r="U18" s="7"/>
      <c r="V18" s="7"/>
      <c r="W18" s="7"/>
      <c r="X18" s="7"/>
      <c r="Y18" s="7"/>
      <c r="Z18" s="7"/>
    </row>
    <row r="19">
      <c r="A19" s="7" t="str">
        <f>IFERROR(__xludf.DUMMYFUNCTION("""COMPUTED_VALUE"""),"TCJaikishan_dKosh_General_SMF1_008_041")</f>
        <v>TCJaikishan_dKosh_General_SMF1_008_041</v>
      </c>
      <c r="B19" s="7" t="str">
        <f>IFERROR(__xludf.DUMMYFUNCTION("""COMPUTED_VALUE"""),"TP_dKosh_General_SMF1_008")</f>
        <v>TP_dKosh_General_SMF1_008</v>
      </c>
      <c r="C19" s="7">
        <f>IFERROR(__xludf.DUMMYFUNCTION("""COMPUTED_VALUE"""),41.0)</f>
        <v>41</v>
      </c>
      <c r="D19" s="7" t="str">
        <f>IFERROR(__xludf.DUMMYFUNCTION("""COMPUTED_VALUE"""),"")</f>
        <v/>
      </c>
      <c r="E19" s="7" t="str">
        <f>IFERROR(__xludf.DUMMYFUNCTION("""COMPUTED_VALUE"""),"Share Form")</f>
        <v>Share Form</v>
      </c>
      <c r="F19" s="7" t="str">
        <f>IFERROR(__xludf.DUMMYFUNCTION("""COMPUTED_VALUE"""),"Share Form")</f>
        <v>Share Form</v>
      </c>
      <c r="G19" s="7" t="str">
        <f>IFERROR(__xludf.DUMMYFUNCTION("""COMPUTED_VALUE"""),"M")</f>
        <v>M</v>
      </c>
      <c r="H19" s="7" t="str">
        <f>IFERROR(__xludf.DUMMYFUNCTION("""COMPUTED_VALUE"""),"Jaikishan")</f>
        <v>Jaikishan</v>
      </c>
      <c r="I19" s="7" t="str">
        <f>IFERROR(__xludf.DUMMYFUNCTION("""COMPUTED_VALUE"""),"Functional")</f>
        <v>Functional</v>
      </c>
      <c r="J19" s="7" t="str">
        <f>IFERROR(__xludf.DUMMYFUNCTION("""COMPUTED_VALUE"""),"1. Form must be created.
2. User has permission of 'Share Form'.
3. Atleast one user should be mapped with that form.")</f>
        <v>1. Form must be created.
2. User has permission of 'Share Form'.
3. Atleast one user should be mapped with that form.</v>
      </c>
      <c r="K19" s="7" t="str">
        <f>IFERROR(__xludf.DUMMYFUNCTION("""COMPUTED_VALUE"""),"Verify, user cannot open form when thier is not permission of that form")</f>
        <v>Verify, user cannot open form when thier is not permission of that form</v>
      </c>
      <c r="L19" s="7" t="str">
        <f>IFERROR(__xludf.DUMMYFUNCTION("""COMPUTED_VALUE"""),"1. Go to manage form list.
2. Click on action icon of any form
3. Click on 'Share Form'.
4. Give permission to edit
5. Then remove user from share form
6. Check user can open from link")</f>
        <v>1. Go to manage form list.
2. Click on action icon of any form
3. Click on 'Share Form'.
4. Give permission to edit
5. Then remove user from share form
6. Check user can open from link</v>
      </c>
      <c r="M19" s="7" t="str">
        <f>IFERROR(__xludf.DUMMYFUNCTION("""COMPUTED_VALUE"""),"User cannot open form from url")</f>
        <v>User cannot open form from url</v>
      </c>
      <c r="N19" s="7" t="str">
        <f>IFERROR(__xludf.DUMMYFUNCTION("""COMPUTED_VALUE"""),"")</f>
        <v/>
      </c>
      <c r="O19" s="7" t="str">
        <f>IFERROR(__xludf.DUMMYFUNCTION("""COMPUTED_VALUE"""),"User open form from url and also make a changes in form")</f>
        <v>User open form from url and also make a changes in form</v>
      </c>
      <c r="P19" s="7" t="str">
        <f>IFERROR(__xludf.DUMMYFUNCTION("""COMPUTED_VALUE"""),"Fail")</f>
        <v>Fail</v>
      </c>
      <c r="Q19" s="7" t="str">
        <f>IFERROR(__xludf.DUMMYFUNCTION("""COMPUTED_VALUE"""),"Jaikishan")</f>
        <v>Jaikishan</v>
      </c>
      <c r="R19" s="8">
        <f>IFERROR(__xludf.DUMMYFUNCTION("""COMPUTED_VALUE"""),43796.0)</f>
        <v>43796</v>
      </c>
      <c r="S19" s="7" t="str">
        <f>IFERROR(__xludf.DUMMYFUNCTION("""COMPUTED_VALUE"""),"")</f>
        <v/>
      </c>
      <c r="T19" s="7"/>
      <c r="U19" s="7"/>
      <c r="V19" s="7"/>
      <c r="W19" s="7"/>
      <c r="X19" s="7"/>
      <c r="Y19" s="7"/>
      <c r="Z19" s="7"/>
    </row>
    <row r="20">
      <c r="A20" s="7" t="str">
        <f>IFERROR(__xludf.DUMMYFUNCTION("""COMPUTED_VALUE"""),"TCJaikishan_dKosh_General_SMF1_009_041")</f>
        <v>TCJaikishan_dKosh_General_SMF1_009_041</v>
      </c>
      <c r="B20" s="7" t="str">
        <f>IFERROR(__xludf.DUMMYFUNCTION("""COMPUTED_VALUE"""),"TP_dKosh_General_SMF1_009")</f>
        <v>TP_dKosh_General_SMF1_009</v>
      </c>
      <c r="C20" s="7">
        <f>IFERROR(__xludf.DUMMYFUNCTION("""COMPUTED_VALUE"""),41.0)</f>
        <v>41</v>
      </c>
      <c r="D20" s="7" t="str">
        <f>IFERROR(__xludf.DUMMYFUNCTION("""COMPUTED_VALUE"""),"")</f>
        <v/>
      </c>
      <c r="E20" s="7" t="str">
        <f>IFERROR(__xludf.DUMMYFUNCTION("""COMPUTED_VALUE"""),"Share Form")</f>
        <v>Share Form</v>
      </c>
      <c r="F20" s="7" t="str">
        <f>IFERROR(__xludf.DUMMYFUNCTION("""COMPUTED_VALUE"""),"Share Form")</f>
        <v>Share Form</v>
      </c>
      <c r="G20" s="7" t="str">
        <f>IFERROR(__xludf.DUMMYFUNCTION("""COMPUTED_VALUE"""),"M")</f>
        <v>M</v>
      </c>
      <c r="H20" s="7" t="str">
        <f>IFERROR(__xludf.DUMMYFUNCTION("""COMPUTED_VALUE"""),"Jaikishan")</f>
        <v>Jaikishan</v>
      </c>
      <c r="I20" s="7" t="str">
        <f>IFERROR(__xludf.DUMMYFUNCTION("""COMPUTED_VALUE"""),"Functional")</f>
        <v>Functional</v>
      </c>
      <c r="J20" s="7" t="str">
        <f>IFERROR(__xludf.DUMMYFUNCTION("""COMPUTED_VALUE"""),"")</f>
        <v/>
      </c>
      <c r="K20" s="7" t="str">
        <f>IFERROR(__xludf.DUMMYFUNCTION("""COMPUTED_VALUE"""),"Verify, User with Edit permission can change status of form.")</f>
        <v>Verify, User with Edit permission can change status of form.</v>
      </c>
      <c r="L20" s="7" t="str">
        <f>IFERROR(__xludf.DUMMYFUNCTION("""COMPUTED_VALUE"""),"")</f>
        <v/>
      </c>
      <c r="M20" s="7" t="str">
        <f>IFERROR(__xludf.DUMMYFUNCTION("""COMPUTED_VALUE"""),"Edit permission user should change the status.")</f>
        <v>Edit permission user should change the status.</v>
      </c>
      <c r="N20" s="7" t="str">
        <f>IFERROR(__xludf.DUMMYFUNCTION("""COMPUTED_VALUE"""),"")</f>
        <v/>
      </c>
      <c r="O20" s="7" t="str">
        <f>IFERROR(__xludf.DUMMYFUNCTION("""COMPUTED_VALUE"""),"Status cannot change by user.
Showing error ""Status cannot be updated"" when Accept responses.
and ""This short name exists."" when change status")</f>
        <v>Status cannot change by user.
Showing error "Status cannot be updated" when Accept responses.
and "This short name exists." when change status</v>
      </c>
      <c r="P20" s="7" t="str">
        <f>IFERROR(__xludf.DUMMYFUNCTION("""COMPUTED_VALUE"""),"Fail")</f>
        <v>Fail</v>
      </c>
      <c r="Q20" s="7" t="str">
        <f>IFERROR(__xludf.DUMMYFUNCTION("""COMPUTED_VALUE"""),"Jaikishan")</f>
        <v>Jaikishan</v>
      </c>
      <c r="R20" s="8">
        <f>IFERROR(__xludf.DUMMYFUNCTION("""COMPUTED_VALUE"""),43797.0)</f>
        <v>43797</v>
      </c>
      <c r="S20" s="7" t="str">
        <f>IFERROR(__xludf.DUMMYFUNCTION("""COMPUTED_VALUE"""),"HIGH- priority")</f>
        <v>HIGH- priority</v>
      </c>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3.86"/>
    <col customWidth="1" min="2" max="2" width="18.86"/>
    <col customWidth="1" min="5" max="5" width="19.57"/>
    <col customWidth="1" min="6" max="6" width="11.57"/>
    <col customWidth="1" min="9" max="9" width="27.43"/>
    <col customWidth="1" min="10" max="10" width="30.0"/>
    <col customWidth="1" hidden="1" min="11" max="11" width="36.29"/>
    <col customWidth="1" min="12" max="12" width="31.57"/>
    <col customWidth="1" hidden="1" min="13" max="13" width="23.43"/>
    <col customWidth="1" min="14" max="14" width="23.14"/>
    <col hidden="1" min="15" max="19" width="14.43"/>
    <col customWidth="1" min="23" max="23" width="18.14"/>
  </cols>
  <sheetData>
    <row r="1">
      <c r="A1" s="1" t="str">
        <f>IFERROR(__xludf.DUMMYFUNCTION("Query(IMPORTRANGE(""https://docs.google.com/spreadsheets/d/1jEbAG0bEllXTKAGJlqI8FhpDdA5pI2ez4m_dRKlp78w/edit#gid=150962125"", ""TC - HCMS - Employee Group!A:S""), ""select* where Col15= 'Fail' OR Col15= '?'"")"),"Test Case ID")</f>
        <v>Test Case ID</v>
      </c>
      <c r="B1" s="2" t="str">
        <f>IFERROR(__xludf.DUMMYFUNCTION("""COMPUTED_VALUE"""),"Test Plan ID")</f>
        <v>Test Plan ID</v>
      </c>
      <c r="C1" s="2" t="str">
        <f>IFERROR(__xludf.DUMMYFUNCTION("""COMPUTED_VALUE"""),"TC #")</f>
        <v>TC #</v>
      </c>
      <c r="D1" s="2" t="str">
        <f>IFERROR(__xludf.DUMMYFUNCTION("""COMPUTED_VALUE"""),"Platform")</f>
        <v>Platform</v>
      </c>
      <c r="E1" s="2" t="str">
        <f>IFERROR(__xludf.DUMMYFUNCTION("""COMPUTED_VALUE"""),"Action")</f>
        <v>Action</v>
      </c>
      <c r="F1" s="2" t="str">
        <f>IFERROR(__xludf.DUMMYFUNCTION("""COMPUTED_VALUE"""),"Test Mode")</f>
        <v>Test Mode</v>
      </c>
      <c r="G1" s="2" t="str">
        <f>IFERROR(__xludf.DUMMYFUNCTION("""COMPUTED_VALUE"""),"Created By")</f>
        <v>Created By</v>
      </c>
      <c r="H1" s="2" t="str">
        <f>IFERROR(__xludf.DUMMYFUNCTION("""COMPUTED_VALUE"""),"Test Case Type")</f>
        <v>Test Case Type</v>
      </c>
      <c r="I1" s="2" t="str">
        <f>IFERROR(__xludf.DUMMYFUNCTION("""COMPUTED_VALUE"""),"Pre Condition")</f>
        <v>Pre Condition</v>
      </c>
      <c r="J1" s="2" t="str">
        <f>IFERROR(__xludf.DUMMYFUNCTION("""COMPUTED_VALUE"""),"Test Case Description")</f>
        <v>Test Case Description</v>
      </c>
      <c r="K1" s="2" t="str">
        <f>IFERROR(__xludf.DUMMYFUNCTION("""COMPUTED_VALUE"""),"Steps")</f>
        <v>Steps</v>
      </c>
      <c r="L1" s="2" t="str">
        <f>IFERROR(__xludf.DUMMYFUNCTION("""COMPUTED_VALUE"""),"Expected Result")</f>
        <v>Expected Result</v>
      </c>
      <c r="M1" s="2" t="str">
        <f>IFERROR(__xludf.DUMMYFUNCTION("""COMPUTED_VALUE"""),"Conditions / Formula / Query")</f>
        <v>Conditions / Formula / Query</v>
      </c>
      <c r="N1" s="2" t="str">
        <f>IFERROR(__xludf.DUMMYFUNCTION("""COMPUTED_VALUE"""),"Actual Result")</f>
        <v>Actual Result</v>
      </c>
      <c r="O1" s="2" t="str">
        <f>IFERROR(__xludf.DUMMYFUNCTION("""COMPUTED_VALUE"""),"Pass/Fail")</f>
        <v>Pass/Fail</v>
      </c>
      <c r="P1" s="2" t="str">
        <f>IFERROR(__xludf.DUMMYFUNCTION("""COMPUTED_VALUE"""),"Executed By")</f>
        <v>Executed By</v>
      </c>
      <c r="Q1" s="2" t="str">
        <f>IFERROR(__xludf.DUMMYFUNCTION("""COMPUTED_VALUE"""),"Date Execution")</f>
        <v>Date Execution</v>
      </c>
      <c r="R1" s="2" t="str">
        <f>IFERROR(__xludf.DUMMYFUNCTION("""COMPUTED_VALUE"""),"Release")</f>
        <v>Release</v>
      </c>
      <c r="S1" s="2" t="str">
        <f>IFERROR(__xludf.DUMMYFUNCTION("""COMPUTED_VALUE"""),"Remarks")</f>
        <v>Remarks</v>
      </c>
      <c r="T1" s="5" t="s">
        <v>0</v>
      </c>
      <c r="U1" s="5" t="s">
        <v>1</v>
      </c>
      <c r="V1" s="14" t="s">
        <v>19</v>
      </c>
      <c r="W1" s="14" t="s">
        <v>20</v>
      </c>
      <c r="X1" s="5" t="s">
        <v>0</v>
      </c>
      <c r="Y1" s="7"/>
      <c r="Z1" s="7"/>
    </row>
    <row r="2">
      <c r="A2" s="7" t="str">
        <f>IFERROR(__xludf.DUMMYFUNCTION("""COMPUTED_VALUE"""),"TCM_dKosh_General_SMF1_026_003")</f>
        <v>TCM_dKosh_General_SMF1_026_003</v>
      </c>
      <c r="B2" s="7" t="str">
        <f>IFERROR(__xludf.DUMMYFUNCTION("""COMPUTED_VALUE"""),"TP_dKosh_General_SMF1_026")</f>
        <v>TP_dKosh_General_SMF1_026</v>
      </c>
      <c r="C2" s="7">
        <f>IFERROR(__xludf.DUMMYFUNCTION("""COMPUTED_VALUE"""),3.0)</f>
        <v>3</v>
      </c>
      <c r="D2" s="7" t="str">
        <f>IFERROR(__xludf.DUMMYFUNCTION("""COMPUTED_VALUE"""),"")</f>
        <v/>
      </c>
      <c r="E2" s="7" t="str">
        <f>IFERROR(__xludf.DUMMYFUNCTION("""COMPUTED_VALUE"""),"Create Employee Group")</f>
        <v>Create Employee Group</v>
      </c>
      <c r="F2" s="7" t="str">
        <f>IFERROR(__xludf.DUMMYFUNCTION("""COMPUTED_VALUE"""),"M")</f>
        <v>M</v>
      </c>
      <c r="G2" s="7" t="str">
        <f>IFERROR(__xludf.DUMMYFUNCTION("""COMPUTED_VALUE"""),"Jaikishan")</f>
        <v>Jaikishan</v>
      </c>
      <c r="H2" s="7" t="str">
        <f>IFERROR(__xludf.DUMMYFUNCTION("""COMPUTED_VALUE"""),"UI")</f>
        <v>UI</v>
      </c>
      <c r="I2" s="7" t="str">
        <f>IFERROR(__xludf.DUMMYFUNCTION("""COMPUTED_VALUE"""),"1. Go to HCMS
2. User has permission of 'Create Employee Group'.")</f>
        <v>1. Go to HCMS
2. User has permission of 'Create Employee Group'.</v>
      </c>
      <c r="J2" s="7" t="str">
        <f>IFERROR(__xludf.DUMMYFUNCTION("""COMPUTED_VALUE"""),"Verify, margin between each section and Verify thier labels.")</f>
        <v>Verify, margin between each section and Verify thier labels.</v>
      </c>
      <c r="K2" s="7" t="str">
        <f>IFERROR(__xludf.DUMMYFUNCTION("""COMPUTED_VALUE"""),"1. Go  to 'Manage Form' list.
2. Click on List action.
3. Click on ""Manage Respondent""
4. Click on ""+"" button
")</f>
        <v>1. Go  to 'Manage Form' list.
2. Click on List action.
3. Click on "Manage Respondent"
4. Click on "+" button
</v>
      </c>
      <c r="L2" s="7" t="str">
        <f>IFERROR(__xludf.DUMMYFUNCTION("""COMPUTED_VALUE"""),"1. Margin should be equal from every side.
2. Organisational Criteria, Employee Criteria, Graphical Criteria, Sathi Users.")</f>
        <v>1. Margin should be equal from every side.
2. Organisational Criteria, Employee Criteria, Graphical Criteria, Sathi Users.</v>
      </c>
      <c r="M2" s="7" t="str">
        <f>IFERROR(__xludf.DUMMYFUNCTION("""COMPUTED_VALUE"""),"")</f>
        <v/>
      </c>
      <c r="N2" s="7" t="str">
        <f>IFERROR(__xludf.DUMMYFUNCTION("""COMPUTED_VALUE"""),"Spelling of Organisation is wrong.")</f>
        <v>Spelling of Organisation is wrong.</v>
      </c>
      <c r="O2" s="7" t="str">
        <f>IFERROR(__xludf.DUMMYFUNCTION("""COMPUTED_VALUE"""),"Fail")</f>
        <v>Fail</v>
      </c>
      <c r="P2" s="7" t="str">
        <f>IFERROR(__xludf.DUMMYFUNCTION("""COMPUTED_VALUE"""),"Jaikishan")</f>
        <v>Jaikishan</v>
      </c>
      <c r="Q2" s="8">
        <f>IFERROR(__xludf.DUMMYFUNCTION("""COMPUTED_VALUE"""),43791.0)</f>
        <v>43791</v>
      </c>
      <c r="R2" s="7" t="str">
        <f>IFERROR(__xludf.DUMMYFUNCTION("""COMPUTED_VALUE"""),"TR2019_W47")</f>
        <v>TR2019_W47</v>
      </c>
      <c r="S2" s="7" t="str">
        <f>IFERROR(__xludf.DUMMYFUNCTION("""COMPUTED_VALUE"""),"")</f>
        <v/>
      </c>
      <c r="T2" s="9" t="s">
        <v>10</v>
      </c>
      <c r="U2" s="7"/>
      <c r="V2" s="9" t="s">
        <v>21</v>
      </c>
      <c r="W2" s="7"/>
      <c r="X2" s="7"/>
      <c r="Y2" s="7"/>
      <c r="Z2" s="7"/>
    </row>
    <row r="3">
      <c r="A3" s="7" t="str">
        <f>IFERROR(__xludf.DUMMYFUNCTION("""COMPUTED_VALUE"""),"TCM_dKosh_General_SMF1_026_004")</f>
        <v>TCM_dKosh_General_SMF1_026_004</v>
      </c>
      <c r="B3" s="7" t="str">
        <f>IFERROR(__xludf.DUMMYFUNCTION("""COMPUTED_VALUE"""),"TP_dKosh_General_SMF1_026")</f>
        <v>TP_dKosh_General_SMF1_026</v>
      </c>
      <c r="C3" s="7">
        <f>IFERROR(__xludf.DUMMYFUNCTION("""COMPUTED_VALUE"""),4.0)</f>
        <v>4</v>
      </c>
      <c r="D3" s="7" t="str">
        <f>IFERROR(__xludf.DUMMYFUNCTION("""COMPUTED_VALUE"""),"")</f>
        <v/>
      </c>
      <c r="E3" s="7" t="str">
        <f>IFERROR(__xludf.DUMMYFUNCTION("""COMPUTED_VALUE"""),"Create Employee Group")</f>
        <v>Create Employee Group</v>
      </c>
      <c r="F3" s="7" t="str">
        <f>IFERROR(__xludf.DUMMYFUNCTION("""COMPUTED_VALUE"""),"M")</f>
        <v>M</v>
      </c>
      <c r="G3" s="7" t="str">
        <f>IFERROR(__xludf.DUMMYFUNCTION("""COMPUTED_VALUE"""),"Jaikishan")</f>
        <v>Jaikishan</v>
      </c>
      <c r="H3" s="7" t="str">
        <f>IFERROR(__xludf.DUMMYFUNCTION("""COMPUTED_VALUE"""),"UI")</f>
        <v>UI</v>
      </c>
      <c r="I3" s="7" t="str">
        <f>IFERROR(__xludf.DUMMYFUNCTION("""COMPUTED_VALUE"""),"1. Go to HCMS
2. User has permission of 'Create Employee Group'.")</f>
        <v>1. Go to HCMS
2. User has permission of 'Create Employee Group'.</v>
      </c>
      <c r="J3" s="7" t="str">
        <f>IFERROR(__xludf.DUMMYFUNCTION("""COMPUTED_VALUE"""),"Verify, ""Selected Employees:"" caption, Count.
")</f>
        <v>Verify, "Selected Employees:" caption, Count.
</v>
      </c>
      <c r="K3" s="7" t="str">
        <f>IFERROR(__xludf.DUMMYFUNCTION("""COMPUTED_VALUE"""),"1. Go  to 'Manage Form' list.
2. Click on List action.
3. Click on ""Manage Respondent""
4. Click on ""+"" button
5. Check Selected Employees
")</f>
        <v>1. Go  to 'Manage Form' list.
2. Click on List action.
3. Click on "Manage Respondent"
4. Click on "+" button
5. Check Selected Employees
</v>
      </c>
      <c r="L3" s="7" t="str">
        <f>IFERROR(__xludf.DUMMYFUNCTION("""COMPUTED_VALUE"""),"Caption : Selected Employees:
Showing user count when Save form.
")</f>
        <v>Caption : Selected Employees:
Showing user count when Save form.
</v>
      </c>
      <c r="M3" s="7" t="str">
        <f>IFERROR(__xludf.DUMMYFUNCTION("""COMPUTED_VALUE"""),"In Requiment &amp; Wireframing : Selected Employee ")</f>
        <v>In Requiment &amp; Wireframing : Selected Employee </v>
      </c>
      <c r="N3" s="7" t="str">
        <f>IFERROR(__xludf.DUMMYFUNCTION("""COMPUTED_VALUE"""),"Caption not matched with requirement.")</f>
        <v>Caption not matched with requirement.</v>
      </c>
      <c r="O3" s="7" t="str">
        <f>IFERROR(__xludf.DUMMYFUNCTION("""COMPUTED_VALUE"""),"Fail")</f>
        <v>Fail</v>
      </c>
      <c r="P3" s="7" t="str">
        <f>IFERROR(__xludf.DUMMYFUNCTION("""COMPUTED_VALUE"""),"Jaikishan")</f>
        <v>Jaikishan</v>
      </c>
      <c r="Q3" s="8">
        <f>IFERROR(__xludf.DUMMYFUNCTION("""COMPUTED_VALUE"""),43791.0)</f>
        <v>43791</v>
      </c>
      <c r="R3" s="7" t="str">
        <f>IFERROR(__xludf.DUMMYFUNCTION("""COMPUTED_VALUE"""),"TR2019_W47")</f>
        <v>TR2019_W47</v>
      </c>
      <c r="S3" s="7" t="str">
        <f>IFERROR(__xludf.DUMMYFUNCTION("""COMPUTED_VALUE"""),"")</f>
        <v/>
      </c>
      <c r="T3" s="9" t="s">
        <v>10</v>
      </c>
      <c r="U3" s="9" t="s">
        <v>23</v>
      </c>
      <c r="V3" s="9" t="s">
        <v>24</v>
      </c>
      <c r="W3" s="7"/>
      <c r="X3" s="7"/>
      <c r="Y3" s="7"/>
      <c r="Z3" s="7"/>
    </row>
    <row r="4">
      <c r="A4" s="7" t="str">
        <f>IFERROR(__xludf.DUMMYFUNCTION("""COMPUTED_VALUE"""),"TCM_dKosh_General_SMF1_026_006")</f>
        <v>TCM_dKosh_General_SMF1_026_006</v>
      </c>
      <c r="B4" s="7" t="str">
        <f>IFERROR(__xludf.DUMMYFUNCTION("""COMPUTED_VALUE"""),"TP_dKosh_General_SMF1_026")</f>
        <v>TP_dKosh_General_SMF1_026</v>
      </c>
      <c r="C4" s="7">
        <f>IFERROR(__xludf.DUMMYFUNCTION("""COMPUTED_VALUE"""),6.0)</f>
        <v>6</v>
      </c>
      <c r="D4" s="7" t="str">
        <f>IFERROR(__xludf.DUMMYFUNCTION("""COMPUTED_VALUE"""),"")</f>
        <v/>
      </c>
      <c r="E4" s="7" t="str">
        <f>IFERROR(__xludf.DUMMYFUNCTION("""COMPUTED_VALUE"""),"Create Employee Group")</f>
        <v>Create Employee Group</v>
      </c>
      <c r="F4" s="7" t="str">
        <f>IFERROR(__xludf.DUMMYFUNCTION("""COMPUTED_VALUE"""),"M")</f>
        <v>M</v>
      </c>
      <c r="G4" s="7" t="str">
        <f>IFERROR(__xludf.DUMMYFUNCTION("""COMPUTED_VALUE"""),"Jaikishan")</f>
        <v>Jaikishan</v>
      </c>
      <c r="H4" s="7" t="str">
        <f>IFERROR(__xludf.DUMMYFUNCTION("""COMPUTED_VALUE"""),"UI")</f>
        <v>UI</v>
      </c>
      <c r="I4" s="7" t="str">
        <f>IFERROR(__xludf.DUMMYFUNCTION("""COMPUTED_VALUE"""),"1. Go to HCMS
2. User has permission of 'Create Employee Group'.")</f>
        <v>1. Go to HCMS
2. User has permission of 'Create Employee Group'.</v>
      </c>
      <c r="J4" s="7" t="str">
        <f>IFERROR(__xludf.DUMMYFUNCTION("""COMPUTED_VALUE"""),"Verify, Caption, Placeholder, Control type and default value of 'Employee Group Name' field.")</f>
        <v>Verify, Caption, Placeholder, Control type and default value of 'Employee Group Name' field.</v>
      </c>
      <c r="K4" s="7" t="str">
        <f>IFERROR(__xludf.DUMMYFUNCTION("""COMPUTED_VALUE"""),"1. Go  to 'Manage Form' list.
2. Click on List action.
3. Click on ""Manage Respondent""
4. Click on ""+"" button
5. Check ""Employee Group Name"" field.")</f>
        <v>1. Go  to 'Manage Form' list.
2. Click on List action.
3. Click on "Manage Respondent"
4. Click on "+" button
5. Check "Employee Group Name" field.</v>
      </c>
      <c r="L4" s="7" t="str">
        <f>IFERROR(__xludf.DUMMYFUNCTION("""COMPUTED_VALUE"""),"Caption : Employee Group Name
Place Holder : --
Control Type : Textbox
Default Value : --")</f>
        <v>Caption : Employee Group Name
Place Holder : --
Control Type : Textbox
Default Value : --</v>
      </c>
      <c r="M4" s="7" t="str">
        <f>IFERROR(__xludf.DUMMYFUNCTION("""COMPUTED_VALUE"""),"
")</f>
        <v>
</v>
      </c>
      <c r="N4" s="7" t="str">
        <f>IFERROR(__xludf.DUMMYFUNCTION("""COMPUTED_VALUE"""),"Caption not matched with requirement.")</f>
        <v>Caption not matched with requirement.</v>
      </c>
      <c r="O4" s="7" t="str">
        <f>IFERROR(__xludf.DUMMYFUNCTION("""COMPUTED_VALUE"""),"Fail")</f>
        <v>Fail</v>
      </c>
      <c r="P4" s="7" t="str">
        <f>IFERROR(__xludf.DUMMYFUNCTION("""COMPUTED_VALUE"""),"Jaikishan")</f>
        <v>Jaikishan</v>
      </c>
      <c r="Q4" s="8">
        <f>IFERROR(__xludf.DUMMYFUNCTION("""COMPUTED_VALUE"""),43791.0)</f>
        <v>43791</v>
      </c>
      <c r="R4" s="7" t="str">
        <f>IFERROR(__xludf.DUMMYFUNCTION("""COMPUTED_VALUE"""),"TR2019_W47")</f>
        <v>TR2019_W47</v>
      </c>
      <c r="S4" s="7" t="str">
        <f>IFERROR(__xludf.DUMMYFUNCTION("""COMPUTED_VALUE"""),"")</f>
        <v/>
      </c>
      <c r="T4" s="15" t="s">
        <v>10</v>
      </c>
      <c r="U4" s="9" t="s">
        <v>25</v>
      </c>
      <c r="V4" s="9" t="s">
        <v>21</v>
      </c>
      <c r="W4" s="9" t="s">
        <v>23</v>
      </c>
      <c r="X4" s="7"/>
      <c r="Y4" s="7"/>
      <c r="Z4" s="7"/>
    </row>
    <row r="5">
      <c r="A5" s="7" t="str">
        <f>IFERROR(__xludf.DUMMYFUNCTION("""COMPUTED_VALUE"""),"TCM_dKosh_General_SMF1_026_009")</f>
        <v>TCM_dKosh_General_SMF1_026_009</v>
      </c>
      <c r="B5" s="7" t="str">
        <f>IFERROR(__xludf.DUMMYFUNCTION("""COMPUTED_VALUE"""),"TP_dKosh_General_SMF1_026")</f>
        <v>TP_dKosh_General_SMF1_026</v>
      </c>
      <c r="C5" s="7">
        <f>IFERROR(__xludf.DUMMYFUNCTION("""COMPUTED_VALUE"""),9.0)</f>
        <v>9</v>
      </c>
      <c r="D5" s="7" t="str">
        <f>IFERROR(__xludf.DUMMYFUNCTION("""COMPUTED_VALUE"""),"")</f>
        <v/>
      </c>
      <c r="E5" s="7" t="str">
        <f>IFERROR(__xludf.DUMMYFUNCTION("""COMPUTED_VALUE"""),"Create Employee Group")</f>
        <v>Create Employee Group</v>
      </c>
      <c r="F5" s="7" t="str">
        <f>IFERROR(__xludf.DUMMYFUNCTION("""COMPUTED_VALUE"""),"M")</f>
        <v>M</v>
      </c>
      <c r="G5" s="7" t="str">
        <f>IFERROR(__xludf.DUMMYFUNCTION("""COMPUTED_VALUE"""),"Jaikishan")</f>
        <v>Jaikishan</v>
      </c>
      <c r="H5" s="7" t="str">
        <f>IFERROR(__xludf.DUMMYFUNCTION("""COMPUTED_VALUE"""),"Validation")</f>
        <v>Validation</v>
      </c>
      <c r="I5" s="7" t="str">
        <f>IFERROR(__xludf.DUMMYFUNCTION("""COMPUTED_VALUE"""),"1. Go to HCMS
2. User has permission of 'Create Employee Group'.")</f>
        <v>1. Go to HCMS
2. User has permission of 'Create Employee Group'.</v>
      </c>
      <c r="J5" s="7" t="str">
        <f>IFERROR(__xludf.DUMMYFUNCTION("""COMPUTED_VALUE"""),"Verify, Employee Group Name ,when only name is enter and no other criteria is selected.")</f>
        <v>Verify, Employee Group Name ,when only name is enter and no other criteria is selected.</v>
      </c>
      <c r="K5" s="7" t="str">
        <f>IFERROR(__xludf.DUMMYFUNCTION("""COMPUTED_VALUE"""),"1. Go  to 'Manage Form' list.
2. Click on List action.
3. Click on ""Manage Respondent""
4. Click on ""+"" button
5. Enter data in ""Employee Group Name"" field.
6. click on Save button")</f>
        <v>1. Go  to 'Manage Form' list.
2. Click on List action.
3. Click on "Manage Respondent"
4. Click on "+" button
5. Enter data in "Employee Group Name" field.
6. click on Save button</v>
      </c>
      <c r="L5" s="7" t="str">
        <f>IFERROR(__xludf.DUMMYFUNCTION("""COMPUTED_VALUE"""),"Employee group should not be created.
")</f>
        <v>Employee group should not be created.
</v>
      </c>
      <c r="M5" s="7" t="str">
        <f>IFERROR(__xludf.DUMMYFUNCTION("""COMPUTED_VALUE"""),"
EPF &amp; ESIC changed to ""No"" automatically.")</f>
        <v>
EPF &amp; ESIC changed to "No" automatically.</v>
      </c>
      <c r="N5" s="7" t="str">
        <f>IFERROR(__xludf.DUMMYFUNCTION("""COMPUTED_VALUE"""),"Employee group created.")</f>
        <v>Employee group created.</v>
      </c>
      <c r="O5" s="7" t="str">
        <f>IFERROR(__xludf.DUMMYFUNCTION("""COMPUTED_VALUE"""),"Fail")</f>
        <v>Fail</v>
      </c>
      <c r="P5" s="7" t="str">
        <f>IFERROR(__xludf.DUMMYFUNCTION("""COMPUTED_VALUE"""),"Jaikishan")</f>
        <v>Jaikishan</v>
      </c>
      <c r="Q5" s="8">
        <f>IFERROR(__xludf.DUMMYFUNCTION("""COMPUTED_VALUE"""),43791.0)</f>
        <v>43791</v>
      </c>
      <c r="R5" s="7" t="str">
        <f>IFERROR(__xludf.DUMMYFUNCTION("""COMPUTED_VALUE"""),"TR2019_W47")</f>
        <v>TR2019_W47</v>
      </c>
      <c r="S5" s="7" t="str">
        <f>IFERROR(__xludf.DUMMYFUNCTION("""COMPUTED_VALUE"""),"")</f>
        <v/>
      </c>
      <c r="T5" s="15" t="s">
        <v>10</v>
      </c>
      <c r="U5" s="9" t="s">
        <v>26</v>
      </c>
      <c r="V5" s="9" t="s">
        <v>27</v>
      </c>
      <c r="W5" s="9" t="s">
        <v>28</v>
      </c>
      <c r="X5" s="7"/>
      <c r="Y5" s="7"/>
      <c r="Z5" s="7"/>
    </row>
    <row r="6">
      <c r="A6" s="7" t="str">
        <f>IFERROR(__xludf.DUMMYFUNCTION("""COMPUTED_VALUE"""),"TCM_dKosh_General_SMF1_026_023")</f>
        <v>TCM_dKosh_General_SMF1_026_023</v>
      </c>
      <c r="B6" s="7" t="str">
        <f>IFERROR(__xludf.DUMMYFUNCTION("""COMPUTED_VALUE"""),"TP_dKosh_General_SMF1_026")</f>
        <v>TP_dKosh_General_SMF1_026</v>
      </c>
      <c r="C6" s="7">
        <f>IFERROR(__xludf.DUMMYFUNCTION("""COMPUTED_VALUE"""),23.0)</f>
        <v>23</v>
      </c>
      <c r="D6" s="7" t="str">
        <f>IFERROR(__xludf.DUMMYFUNCTION("""COMPUTED_VALUE"""),"")</f>
        <v/>
      </c>
      <c r="E6" s="7" t="str">
        <f>IFERROR(__xludf.DUMMYFUNCTION("""COMPUTED_VALUE"""),"Create Employee Group")</f>
        <v>Create Employee Group</v>
      </c>
      <c r="F6" s="7" t="str">
        <f>IFERROR(__xludf.DUMMYFUNCTION("""COMPUTED_VALUE"""),"M")</f>
        <v>M</v>
      </c>
      <c r="G6" s="7" t="str">
        <f>IFERROR(__xludf.DUMMYFUNCTION("""COMPUTED_VALUE"""),"Jaikishan")</f>
        <v>Jaikishan</v>
      </c>
      <c r="H6" s="7" t="str">
        <f>IFERROR(__xludf.DUMMYFUNCTION("""COMPUTED_VALUE"""),"UI")</f>
        <v>UI</v>
      </c>
      <c r="I6" s="7" t="str">
        <f>IFERROR(__xludf.DUMMYFUNCTION("""COMPUTED_VALUE"""),"1. Go to HCMS
2. User has permission of 'Create Employee Group'.")</f>
        <v>1. Go to HCMS
2. User has permission of 'Create Employee Group'.</v>
      </c>
      <c r="J6" s="7" t="str">
        <f>IFERROR(__xludf.DUMMYFUNCTION("""COMPUTED_VALUE"""),"Verify, Caption, Placeholder, Control type and default value of 'Employee Type' field.")</f>
        <v>Verify, Caption, Placeholder, Control type and default value of 'Employee Type' field.</v>
      </c>
      <c r="K6" s="7" t="str">
        <f>IFERROR(__xludf.DUMMYFUNCTION("""COMPUTED_VALUE"""),"1. Go  to 'Manage Form' list.
2. Click on List action.
3. Click on ""Manage Respondent""
4. Click on ""+"" button
5. Check ""Employee Type"" field.")</f>
        <v>1. Go  to 'Manage Form' list.
2. Click on List action.
3. Click on "Manage Respondent"
4. Click on "+" button
5. Check "Employee Type" field.</v>
      </c>
      <c r="L6" s="7" t="str">
        <f>IFERROR(__xludf.DUMMYFUNCTION("""COMPUTED_VALUE"""),"Caption : Employee Type
Place Holder : Select Employee Type
Control Type : dropdown(Multiselect)
Default Value : --")</f>
        <v>Caption : Employee Type
Place Holder : Select Employee Type
Control Type : dropdown(Multiselect)
Default Value : --</v>
      </c>
      <c r="M6" s="7" t="str">
        <f>IFERROR(__xludf.DUMMYFUNCTION("""COMPUTED_VALUE"""),"")</f>
        <v/>
      </c>
      <c r="N6" s="7" t="str">
        <f>IFERROR(__xludf.DUMMYFUNCTION("""COMPUTED_VALUE"""),"When select multiple Employee Type, then Employee type showing in consistent")</f>
        <v>When select multiple Employee Type, then Employee type showing in consistent</v>
      </c>
      <c r="O6" s="7" t="str">
        <f>IFERROR(__xludf.DUMMYFUNCTION("""COMPUTED_VALUE"""),"Fail")</f>
        <v>Fail</v>
      </c>
      <c r="P6" s="7" t="str">
        <f>IFERROR(__xludf.DUMMYFUNCTION("""COMPUTED_VALUE"""),"Jaikishan")</f>
        <v>Jaikishan</v>
      </c>
      <c r="Q6" s="8">
        <f>IFERROR(__xludf.DUMMYFUNCTION("""COMPUTED_VALUE"""),43791.0)</f>
        <v>43791</v>
      </c>
      <c r="R6" s="7" t="str">
        <f>IFERROR(__xludf.DUMMYFUNCTION("""COMPUTED_VALUE"""),"TR2019_W47")</f>
        <v>TR2019_W47</v>
      </c>
      <c r="S6" s="7" t="str">
        <f>IFERROR(__xludf.DUMMYFUNCTION("""COMPUTED_VALUE"""),"Attachment")</f>
        <v>Attachment</v>
      </c>
      <c r="T6" s="9" t="s">
        <v>30</v>
      </c>
      <c r="U6" s="7"/>
      <c r="V6" s="9" t="s">
        <v>21</v>
      </c>
      <c r="W6" s="7"/>
      <c r="X6" s="7"/>
      <c r="Y6" s="7"/>
      <c r="Z6" s="7"/>
    </row>
    <row r="7">
      <c r="A7" s="7" t="str">
        <f>IFERROR(__xludf.DUMMYFUNCTION("""COMPUTED_VALUE"""),"TCM_dKosh_General_SMF1_028_042")</f>
        <v>TCM_dKosh_General_SMF1_028_042</v>
      </c>
      <c r="B7" s="7" t="str">
        <f>IFERROR(__xludf.DUMMYFUNCTION("""COMPUTED_VALUE"""),"TP_dKosh_General_SMF1_028")</f>
        <v>TP_dKosh_General_SMF1_028</v>
      </c>
      <c r="C7" s="7">
        <f>IFERROR(__xludf.DUMMYFUNCTION("""COMPUTED_VALUE"""),42.0)</f>
        <v>42</v>
      </c>
      <c r="D7" s="7" t="str">
        <f>IFERROR(__xludf.DUMMYFUNCTION("""COMPUTED_VALUE"""),"")</f>
        <v/>
      </c>
      <c r="E7" s="7" t="str">
        <f>IFERROR(__xludf.DUMMYFUNCTION("""COMPUTED_VALUE"""),"Create Employee Group")</f>
        <v>Create Employee Group</v>
      </c>
      <c r="F7" s="7" t="str">
        <f>IFERROR(__xludf.DUMMYFUNCTION("""COMPUTED_VALUE"""),"M")</f>
        <v>M</v>
      </c>
      <c r="G7" s="7" t="str">
        <f>IFERROR(__xludf.DUMMYFUNCTION("""COMPUTED_VALUE"""),"Jaikishan")</f>
        <v>Jaikishan</v>
      </c>
      <c r="H7" s="7" t="str">
        <f>IFERROR(__xludf.DUMMYFUNCTION("""COMPUTED_VALUE"""),"Unit")</f>
        <v>Unit</v>
      </c>
      <c r="I7" s="7" t="str">
        <f>IFERROR(__xludf.DUMMYFUNCTION("""COMPUTED_VALUE"""),"1. Employees mapped with any organisation.")</f>
        <v>1. Employees mapped with any organisation.</v>
      </c>
      <c r="J7" s="7" t="str">
        <f>IFERROR(__xludf.DUMMYFUNCTION("""COMPUTED_VALUE"""),"Verify, ""Employees in group"" list if employees mapped with selected organisation")</f>
        <v>Verify, "Employees in group" list if employees mapped with selected organisation</v>
      </c>
      <c r="K7" s="7" t="str">
        <f>IFERROR(__xludf.DUMMYFUNCTION("""COMPUTED_VALUE"""),"1. Go to HCMS.
2. Go To ""Employees""
3. Go to ""Employee Group""
4. Click on ""+"" button
5. Click on Organisation field
6. Select any Organisation.
7. Click on ""Save"" button.")</f>
        <v>1. Go to HCMS.
2. Go To "Employees"
3. Go to "Employee Group"
4. Click on "+" button
5. Click on Organisation field
6. Select any Organisation.
7. Click on "Save" button.</v>
      </c>
      <c r="L7" s="7" t="str">
        <f>IFERROR(__xludf.DUMMYFUNCTION("""COMPUTED_VALUE"""),"All employees of selected organisation should be showing in ""Employees in group"" list.
")</f>
        <v>All employees of selected organisation should be showing in "Employees in group" list.
</v>
      </c>
      <c r="M7" s="7" t="str">
        <f>IFERROR(__xludf.DUMMYFUNCTION("""COMPUTED_VALUE"""),"")</f>
        <v/>
      </c>
      <c r="N7" s="7" t="str">
        <f>IFERROR(__xludf.DUMMYFUNCTION("""COMPUTED_VALUE"""),"Employee information showing in different column.")</f>
        <v>Employee information showing in different column.</v>
      </c>
      <c r="O7" s="7" t="str">
        <f>IFERROR(__xludf.DUMMYFUNCTION("""COMPUTED_VALUE"""),"Fail")</f>
        <v>Fail</v>
      </c>
      <c r="P7" s="7" t="str">
        <f>IFERROR(__xludf.DUMMYFUNCTION("""COMPUTED_VALUE"""),"Jaikishan")</f>
        <v>Jaikishan</v>
      </c>
      <c r="Q7" s="8">
        <f>IFERROR(__xludf.DUMMYFUNCTION("""COMPUTED_VALUE"""),43791.0)</f>
        <v>43791</v>
      </c>
      <c r="R7" s="7" t="str">
        <f>IFERROR(__xludf.DUMMYFUNCTION("""COMPUTED_VALUE"""),"TR2019_W47")</f>
        <v>TR2019_W47</v>
      </c>
      <c r="S7" s="7" t="str">
        <f>IFERROR(__xludf.DUMMYFUNCTION("""COMPUTED_VALUE"""),"Attachment")</f>
        <v>Attachment</v>
      </c>
      <c r="T7" s="9" t="s">
        <v>10</v>
      </c>
      <c r="U7" s="7"/>
      <c r="V7" s="9" t="s">
        <v>27</v>
      </c>
      <c r="W7" s="9" t="s">
        <v>32</v>
      </c>
      <c r="X7" s="7"/>
      <c r="Y7" s="7"/>
      <c r="Z7" s="7"/>
    </row>
    <row r="8">
      <c r="A8" s="7" t="str">
        <f>IFERROR(__xludf.DUMMYFUNCTION("""COMPUTED_VALUE"""),"TCM_dKosh_General_SMF1_030_043")</f>
        <v>TCM_dKosh_General_SMF1_030_043</v>
      </c>
      <c r="B8" s="7" t="str">
        <f>IFERROR(__xludf.DUMMYFUNCTION("""COMPUTED_VALUE"""),"TP_dKosh_General_SMF1_030")</f>
        <v>TP_dKosh_General_SMF1_030</v>
      </c>
      <c r="C8" s="7">
        <f>IFERROR(__xludf.DUMMYFUNCTION("""COMPUTED_VALUE"""),43.0)</f>
        <v>43</v>
      </c>
      <c r="D8" s="7" t="str">
        <f>IFERROR(__xludf.DUMMYFUNCTION("""COMPUTED_VALUE"""),"")</f>
        <v/>
      </c>
      <c r="E8" s="7" t="str">
        <f>IFERROR(__xludf.DUMMYFUNCTION("""COMPUTED_VALUE"""),"Create Employee Group")</f>
        <v>Create Employee Group</v>
      </c>
      <c r="F8" s="7" t="str">
        <f>IFERROR(__xludf.DUMMYFUNCTION("""COMPUTED_VALUE"""),"M")</f>
        <v>M</v>
      </c>
      <c r="G8" s="7" t="str">
        <f>IFERROR(__xludf.DUMMYFUNCTION("""COMPUTED_VALUE"""),"Jaikishan")</f>
        <v>Jaikishan</v>
      </c>
      <c r="H8" s="7" t="str">
        <f>IFERROR(__xludf.DUMMYFUNCTION("""COMPUTED_VALUE"""),"Unit")</f>
        <v>Unit</v>
      </c>
      <c r="I8" s="7" t="str">
        <f>IFERROR(__xludf.DUMMYFUNCTION("""COMPUTED_VALUE"""),"")</f>
        <v/>
      </c>
      <c r="J8" s="7" t="str">
        <f>IFERROR(__xludf.DUMMYFUNCTION("""COMPUTED_VALUE"""),"Verify back button, when open Employee in Group list and move next page.")</f>
        <v>Verify back button, when open Employee in Group list and move next page.</v>
      </c>
      <c r="K8" s="7" t="str">
        <f>IFERROR(__xludf.DUMMYFUNCTION("""COMPUTED_VALUE"""),"")</f>
        <v/>
      </c>
      <c r="L8" s="7" t="str">
        <f>IFERROR(__xludf.DUMMYFUNCTION("""COMPUTED_VALUE"""),"Move to Empployee Group list page.")</f>
        <v>Move to Empployee Group list page.</v>
      </c>
      <c r="M8" s="7" t="str">
        <f>IFERROR(__xludf.DUMMYFUNCTION("""COMPUTED_VALUE"""),"Url adds actions which are doing on page.")</f>
        <v>Url adds actions which are doing on page.</v>
      </c>
      <c r="N8" s="7" t="str">
        <f>IFERROR(__xludf.DUMMYFUNCTION("""COMPUTED_VALUE"""),"Open list of Employee page.")</f>
        <v>Open list of Employee page.</v>
      </c>
      <c r="O8" s="7" t="str">
        <f>IFERROR(__xludf.DUMMYFUNCTION("""COMPUTED_VALUE"""),"Fail")</f>
        <v>Fail</v>
      </c>
      <c r="P8" s="7" t="str">
        <f>IFERROR(__xludf.DUMMYFUNCTION("""COMPUTED_VALUE"""),"Jaikishan")</f>
        <v>Jaikishan</v>
      </c>
      <c r="Q8" s="8">
        <f>IFERROR(__xludf.DUMMYFUNCTION("""COMPUTED_VALUE"""),43792.0)</f>
        <v>43792</v>
      </c>
      <c r="R8" s="7" t="str">
        <f>IFERROR(__xludf.DUMMYFUNCTION("""COMPUTED_VALUE"""),"TR2019_W47")</f>
        <v>TR2019_W47</v>
      </c>
      <c r="S8" s="7" t="str">
        <f>IFERROR(__xludf.DUMMYFUNCTION("""COMPUTED_VALUE"""),"")</f>
        <v/>
      </c>
      <c r="T8" s="9" t="s">
        <v>10</v>
      </c>
      <c r="U8" s="7"/>
      <c r="V8" s="9" t="s">
        <v>27</v>
      </c>
      <c r="W8" s="7"/>
      <c r="X8" s="7"/>
      <c r="Y8" s="7"/>
      <c r="Z8" s="7"/>
    </row>
    <row r="9">
      <c r="A9" s="7" t="str">
        <f>IFERROR(__xludf.DUMMYFUNCTION("""COMPUTED_VALUE"""),"TCM_dKosh_General_SMF1_031_043")</f>
        <v>TCM_dKosh_General_SMF1_031_043</v>
      </c>
      <c r="B9" s="7" t="str">
        <f>IFERROR(__xludf.DUMMYFUNCTION("""COMPUTED_VALUE"""),"TP_dKosh_General_SMF1_031")</f>
        <v>TP_dKosh_General_SMF1_031</v>
      </c>
      <c r="C9" s="7">
        <f>IFERROR(__xludf.DUMMYFUNCTION("""COMPUTED_VALUE"""),43.0)</f>
        <v>43</v>
      </c>
      <c r="D9" s="7" t="str">
        <f>IFERROR(__xludf.DUMMYFUNCTION("""COMPUTED_VALUE"""),"")</f>
        <v/>
      </c>
      <c r="E9" s="7" t="str">
        <f>IFERROR(__xludf.DUMMYFUNCTION("""COMPUTED_VALUE"""),"Create Employee Group")</f>
        <v>Create Employee Group</v>
      </c>
      <c r="F9" s="7" t="str">
        <f>IFERROR(__xludf.DUMMYFUNCTION("""COMPUTED_VALUE"""),"M")</f>
        <v>M</v>
      </c>
      <c r="G9" s="7" t="str">
        <f>IFERROR(__xludf.DUMMYFUNCTION("""COMPUTED_VALUE"""),"Jaikishan")</f>
        <v>Jaikishan</v>
      </c>
      <c r="H9" s="7" t="str">
        <f>IFERROR(__xludf.DUMMYFUNCTION("""COMPUTED_VALUE"""),"Unit")</f>
        <v>Unit</v>
      </c>
      <c r="I9" s="7" t="str">
        <f>IFERROR(__xludf.DUMMYFUNCTION("""COMPUTED_VALUE"""),"")</f>
        <v/>
      </c>
      <c r="J9" s="7" t="str">
        <f>IFERROR(__xludf.DUMMYFUNCTION("""COMPUTED_VALUE"""),"Verify ex-employee , when select any department and Save")</f>
        <v>Verify ex-employee , when select any department and Save</v>
      </c>
      <c r="K9" s="7" t="str">
        <f>IFERROR(__xludf.DUMMYFUNCTION("""COMPUTED_VALUE"""),"")</f>
        <v/>
      </c>
      <c r="L9" s="7" t="str">
        <f>IFERROR(__xludf.DUMMYFUNCTION("""COMPUTED_VALUE"""),"Ex-Employee not showing in Employee in Group list.")</f>
        <v>Ex-Employee not showing in Employee in Group list.</v>
      </c>
      <c r="M9" s="7" t="str">
        <f>IFERROR(__xludf.DUMMYFUNCTION("""COMPUTED_VALUE"""),"")</f>
        <v/>
      </c>
      <c r="N9" s="7" t="str">
        <f>IFERROR(__xludf.DUMMYFUNCTION("""COMPUTED_VALUE"""),"Ex-Employee also showing in List
")</f>
        <v>Ex-Employee also showing in List
</v>
      </c>
      <c r="O9" s="7" t="str">
        <f>IFERROR(__xludf.DUMMYFUNCTION("""COMPUTED_VALUE"""),"Fail")</f>
        <v>Fail</v>
      </c>
      <c r="P9" s="7" t="str">
        <f>IFERROR(__xludf.DUMMYFUNCTION("""COMPUTED_VALUE"""),"Jaikishan")</f>
        <v>Jaikishan</v>
      </c>
      <c r="Q9" s="8">
        <f>IFERROR(__xludf.DUMMYFUNCTION("""COMPUTED_VALUE"""),43792.0)</f>
        <v>43792</v>
      </c>
      <c r="R9" s="7" t="str">
        <f>IFERROR(__xludf.DUMMYFUNCTION("""COMPUTED_VALUE"""),"TR2019_W47")</f>
        <v>TR2019_W47</v>
      </c>
      <c r="S9" s="7" t="str">
        <f>IFERROR(__xludf.DUMMYFUNCTION("""COMPUTED_VALUE"""),"High Priority")</f>
        <v>High Priority</v>
      </c>
      <c r="T9" s="9" t="s">
        <v>10</v>
      </c>
      <c r="U9" s="7"/>
      <c r="V9" s="9" t="s">
        <v>21</v>
      </c>
      <c r="W9" s="7"/>
      <c r="X9" s="7"/>
      <c r="Y9" s="7"/>
      <c r="Z9" s="7"/>
    </row>
    <row r="10">
      <c r="A10" s="7" t="str">
        <f>IFERROR(__xludf.DUMMYFUNCTION("""COMPUTED_VALUE"""),"TCM_dKosh_General_SMF1_030_044")</f>
        <v>TCM_dKosh_General_SMF1_030_044</v>
      </c>
      <c r="B10" s="7" t="str">
        <f>IFERROR(__xludf.DUMMYFUNCTION("""COMPUTED_VALUE"""),"TP_dKosh_General_SMF1_030")</f>
        <v>TP_dKosh_General_SMF1_030</v>
      </c>
      <c r="C10" s="7">
        <f>IFERROR(__xludf.DUMMYFUNCTION("""COMPUTED_VALUE"""),44.0)</f>
        <v>44</v>
      </c>
      <c r="D10" s="7" t="str">
        <f>IFERROR(__xludf.DUMMYFUNCTION("""COMPUTED_VALUE"""),"")</f>
        <v/>
      </c>
      <c r="E10" s="7" t="str">
        <f>IFERROR(__xludf.DUMMYFUNCTION("""COMPUTED_VALUE"""),"Create Employee Group")</f>
        <v>Create Employee Group</v>
      </c>
      <c r="F10" s="7" t="str">
        <f>IFERROR(__xludf.DUMMYFUNCTION("""COMPUTED_VALUE"""),"M")</f>
        <v>M</v>
      </c>
      <c r="G10" s="7" t="str">
        <f>IFERROR(__xludf.DUMMYFUNCTION("""COMPUTED_VALUE"""),"Jaikishan")</f>
        <v>Jaikishan</v>
      </c>
      <c r="H10" s="7" t="str">
        <f>IFERROR(__xludf.DUMMYFUNCTION("""COMPUTED_VALUE"""),"Unit")</f>
        <v>Unit</v>
      </c>
      <c r="I10" s="7" t="str">
        <f>IFERROR(__xludf.DUMMYFUNCTION("""COMPUTED_VALUE"""),"1. Employee group already create with any organisation.
2. Employees mapped with that organisation.")</f>
        <v>1. Employee group already create with any organisation.
2. Employees mapped with that organisation.</v>
      </c>
      <c r="J10" s="7" t="str">
        <f>IFERROR(__xludf.DUMMYFUNCTION("""COMPUTED_VALUE"""),"Verify, ""Employees in group"" list when user Create new employee in select organisation.")</f>
        <v>Verify, "Employees in group" list when user Create new employee in select organisation.</v>
      </c>
      <c r="K10" s="7" t="str">
        <f>IFERROR(__xludf.DUMMYFUNCTION("""COMPUTED_VALUE"""),"1. Go to HCMS.
2. Go To ""Employees""
3. Go to ""Employee Group""
4. Click on Employee group name.
5. Create new Employee from HCMS.
6. Employee mapped with organisation
7. Check in Employee in group list.")</f>
        <v>1. Go to HCMS.
2. Go To "Employees"
3. Go to "Employee Group"
4. Click on Employee group name.
5. Create new Employee from HCMS.
6. Employee mapped with organisation
7. Check in Employee in group list.</v>
      </c>
      <c r="L10" s="7" t="str">
        <f>IFERROR(__xludf.DUMMYFUNCTION("""COMPUTED_VALUE"""),"New Created Employee should show in ""Employee in group"" list.")</f>
        <v>New Created Employee should show in "Employee in group" list.</v>
      </c>
      <c r="M10" s="7" t="str">
        <f>IFERROR(__xludf.DUMMYFUNCTION("""COMPUTED_VALUE"""),"
")</f>
        <v>
</v>
      </c>
      <c r="N10" s="7" t="str">
        <f>IFERROR(__xludf.DUMMYFUNCTION("""COMPUTED_VALUE"""),"Not Updated automatically, it update after click on Save button")</f>
        <v>Not Updated automatically, it update after click on Save button</v>
      </c>
      <c r="O10" s="7" t="str">
        <f>IFERROR(__xludf.DUMMYFUNCTION("""COMPUTED_VALUE"""),"Fail")</f>
        <v>Fail</v>
      </c>
      <c r="P10" s="7" t="str">
        <f>IFERROR(__xludf.DUMMYFUNCTION("""COMPUTED_VALUE"""),"Jaikishan")</f>
        <v>Jaikishan</v>
      </c>
      <c r="Q10" s="8">
        <f>IFERROR(__xludf.DUMMYFUNCTION("""COMPUTED_VALUE"""),43792.0)</f>
        <v>43792</v>
      </c>
      <c r="R10" s="7" t="str">
        <f>IFERROR(__xludf.DUMMYFUNCTION("""COMPUTED_VALUE"""),"TR2019_W47")</f>
        <v>TR2019_W47</v>
      </c>
      <c r="S10" s="7" t="str">
        <f>IFERROR(__xludf.DUMMYFUNCTION("""COMPUTED_VALUE"""),"")</f>
        <v/>
      </c>
      <c r="T10" s="15" t="s">
        <v>34</v>
      </c>
      <c r="U10" s="9" t="s">
        <v>35</v>
      </c>
      <c r="V10" s="7"/>
      <c r="W10" s="7"/>
      <c r="X10" s="7"/>
      <c r="Y10" s="7"/>
      <c r="Z10" s="7"/>
    </row>
    <row r="11">
      <c r="A11" s="7" t="str">
        <f>IFERROR(__xludf.DUMMYFUNCTION("""COMPUTED_VALUE"""),"TCM_dKosh_General_SMF1_031_045")</f>
        <v>TCM_dKosh_General_SMF1_031_045</v>
      </c>
      <c r="B11" s="7" t="str">
        <f>IFERROR(__xludf.DUMMYFUNCTION("""COMPUTED_VALUE"""),"TP_dKosh_General_SMF1_031")</f>
        <v>TP_dKosh_General_SMF1_031</v>
      </c>
      <c r="C11" s="7">
        <f>IFERROR(__xludf.DUMMYFUNCTION("""COMPUTED_VALUE"""),45.0)</f>
        <v>45</v>
      </c>
      <c r="D11" s="7" t="str">
        <f>IFERROR(__xludf.DUMMYFUNCTION("""COMPUTED_VALUE"""),"")</f>
        <v/>
      </c>
      <c r="E11" s="7" t="str">
        <f>IFERROR(__xludf.DUMMYFUNCTION("""COMPUTED_VALUE"""),"Create Employee Group")</f>
        <v>Create Employee Group</v>
      </c>
      <c r="F11" s="7" t="str">
        <f>IFERROR(__xludf.DUMMYFUNCTION("""COMPUTED_VALUE"""),"M")</f>
        <v>M</v>
      </c>
      <c r="G11" s="7" t="str">
        <f>IFERROR(__xludf.DUMMYFUNCTION("""COMPUTED_VALUE"""),"Jaikishan")</f>
        <v>Jaikishan</v>
      </c>
      <c r="H11" s="7" t="str">
        <f>IFERROR(__xludf.DUMMYFUNCTION("""COMPUTED_VALUE"""),"Unit")</f>
        <v>Unit</v>
      </c>
      <c r="I11" s="7" t="str">
        <f>IFERROR(__xludf.DUMMYFUNCTION("""COMPUTED_VALUE"""),"1. Employee group already create with any organisation.
2. Employees mapped with that organisation.")</f>
        <v>1. Employee group already create with any organisation.
2. Employees mapped with that organisation.</v>
      </c>
      <c r="J11" s="7" t="str">
        <f>IFERROR(__xludf.DUMMYFUNCTION("""COMPUTED_VALUE"""),"Verify, ""Employees in group"" list when user Modify employee organisation in thier profile..")</f>
        <v>Verify, "Employees in group" list when user Modify employee organisation in thier profile..</v>
      </c>
      <c r="K11" s="7" t="str">
        <f>IFERROR(__xludf.DUMMYFUNCTION("""COMPUTED_VALUE"""),"1. Go to HCMS.
2. Go To ""Employees""
3. Go to ""Employee Group""
4. Click on Employee group name.
5. Modify organisation of Employee from HCMS.
6. Check in Employee in group list.")</f>
        <v>1. Go to HCMS.
2. Go To "Employees"
3. Go to "Employee Group"
4. Click on Employee group name.
5. Modify organisation of Employee from HCMS.
6. Check in Employee in group list.</v>
      </c>
      <c r="L11" s="7" t="str">
        <f>IFERROR(__xludf.DUMMYFUNCTION("""COMPUTED_VALUE"""),"1. Employee should show in modified organisation.
2. Employee should remove from previous organisation.")</f>
        <v>1. Employee should show in modified organisation.
2. Employee should remove from previous organisation.</v>
      </c>
      <c r="M11" s="7" t="str">
        <f>IFERROR(__xludf.DUMMYFUNCTION("""COMPUTED_VALUE"""),"")</f>
        <v/>
      </c>
      <c r="N11" s="7" t="str">
        <f>IFERROR(__xludf.DUMMYFUNCTION("""COMPUTED_VALUE"""),"Not Updated automatically, it update after click on Save button")</f>
        <v>Not Updated automatically, it update after click on Save button</v>
      </c>
      <c r="O11" s="7" t="str">
        <f>IFERROR(__xludf.DUMMYFUNCTION("""COMPUTED_VALUE"""),"Fail")</f>
        <v>Fail</v>
      </c>
      <c r="P11" s="7" t="str">
        <f>IFERROR(__xludf.DUMMYFUNCTION("""COMPUTED_VALUE"""),"Jaikishan")</f>
        <v>Jaikishan</v>
      </c>
      <c r="Q11" s="8">
        <f>IFERROR(__xludf.DUMMYFUNCTION("""COMPUTED_VALUE"""),43792.0)</f>
        <v>43792</v>
      </c>
      <c r="R11" s="7" t="str">
        <f>IFERROR(__xludf.DUMMYFUNCTION("""COMPUTED_VALUE"""),"TR2019_W47")</f>
        <v>TR2019_W47</v>
      </c>
      <c r="S11" s="7" t="str">
        <f>IFERROR(__xludf.DUMMYFUNCTION("""COMPUTED_VALUE"""),"")</f>
        <v/>
      </c>
      <c r="T11" s="15" t="s">
        <v>34</v>
      </c>
      <c r="U11" s="9" t="s">
        <v>35</v>
      </c>
      <c r="V11" s="7"/>
      <c r="W11" s="7"/>
      <c r="X11" s="7"/>
      <c r="Y11" s="7"/>
      <c r="Z11" s="7"/>
    </row>
    <row r="12">
      <c r="A12" s="7" t="str">
        <f>IFERROR(__xludf.DUMMYFUNCTION("""COMPUTED_VALUE"""),"TCM_dKosh_General_SMF1_033_047")</f>
        <v>TCM_dKosh_General_SMF1_033_047</v>
      </c>
      <c r="B12" s="7" t="str">
        <f>IFERROR(__xludf.DUMMYFUNCTION("""COMPUTED_VALUE"""),"TP_dKosh_General_SMF1_033")</f>
        <v>TP_dKosh_General_SMF1_033</v>
      </c>
      <c r="C12" s="7">
        <f>IFERROR(__xludf.DUMMYFUNCTION("""COMPUTED_VALUE"""),47.0)</f>
        <v>47</v>
      </c>
      <c r="D12" s="7" t="str">
        <f>IFERROR(__xludf.DUMMYFUNCTION("""COMPUTED_VALUE"""),"")</f>
        <v/>
      </c>
      <c r="E12" s="7" t="str">
        <f>IFERROR(__xludf.DUMMYFUNCTION("""COMPUTED_VALUE"""),"Create Employee Group")</f>
        <v>Create Employee Group</v>
      </c>
      <c r="F12" s="7" t="str">
        <f>IFERROR(__xludf.DUMMYFUNCTION("""COMPUTED_VALUE"""),"M")</f>
        <v>M</v>
      </c>
      <c r="G12" s="7" t="str">
        <f>IFERROR(__xludf.DUMMYFUNCTION("""COMPUTED_VALUE"""),"Jaikishan")</f>
        <v>Jaikishan</v>
      </c>
      <c r="H12" s="7" t="str">
        <f>IFERROR(__xludf.DUMMYFUNCTION("""COMPUTED_VALUE"""),"Unit")</f>
        <v>Unit</v>
      </c>
      <c r="I12" s="7" t="str">
        <f>IFERROR(__xludf.DUMMYFUNCTION("""COMPUTED_VALUE"""),"1. Employees mapped with any organisation.")</f>
        <v>1. Employees mapped with any organisation.</v>
      </c>
      <c r="J12" s="7" t="str">
        <f>IFERROR(__xludf.DUMMYFUNCTION("""COMPUTED_VALUE"""),"Verify, ""Employees in group"" when user select multiple organisation.")</f>
        <v>Verify, "Employees in group" when user select multiple organisation.</v>
      </c>
      <c r="K12" s="7" t="str">
        <f>IFERROR(__xludf.DUMMYFUNCTION("""COMPUTED_VALUE"""),"1. Go to HCMS.
2. Go To ""Employees""
3. Go to ""Employee Group""
4. Click on ""+"" button
5. Click on Organisation field
6. Select multiple Organisation.
7. Click on ""Save"" button.")</f>
        <v>1. Go to HCMS.
2. Go To "Employees"
3. Go to "Employee Group"
4. Click on "+" button
5. Click on Organisation field
6. Select multiple Organisation.
7. Click on "Save" button.</v>
      </c>
      <c r="L12" s="7" t="str">
        <f>IFERROR(__xludf.DUMMYFUNCTION("""COMPUTED_VALUE"""),"All employees of selected organisation should be showing in ""Employees in group"" list.
")</f>
        <v>All employees of selected organisation should be showing in "Employees in group" list.
</v>
      </c>
      <c r="M12" s="7" t="str">
        <f>IFERROR(__xludf.DUMMYFUNCTION("""COMPUTED_VALUE"""),"")</f>
        <v/>
      </c>
      <c r="N12" s="7" t="str">
        <f>IFERROR(__xludf.DUMMYFUNCTION("""COMPUTED_VALUE"""),"Unapproved Employee/New Employee whose confirmation is not done yet, also showing in List")</f>
        <v>Unapproved Employee/New Employee whose confirmation is not done yet, also showing in List</v>
      </c>
      <c r="O12" s="7" t="str">
        <f>IFERROR(__xludf.DUMMYFUNCTION("""COMPUTED_VALUE"""),"Fail")</f>
        <v>Fail</v>
      </c>
      <c r="P12" s="7" t="str">
        <f>IFERROR(__xludf.DUMMYFUNCTION("""COMPUTED_VALUE"""),"Jaikishan")</f>
        <v>Jaikishan</v>
      </c>
      <c r="Q12" s="8">
        <f>IFERROR(__xludf.DUMMYFUNCTION("""COMPUTED_VALUE"""),43792.0)</f>
        <v>43792</v>
      </c>
      <c r="R12" s="7" t="str">
        <f>IFERROR(__xludf.DUMMYFUNCTION("""COMPUTED_VALUE"""),"TR2019_W47")</f>
        <v>TR2019_W47</v>
      </c>
      <c r="S12" s="7" t="str">
        <f>IFERROR(__xludf.DUMMYFUNCTION("""COMPUTED_VALUE"""),"High Priority")</f>
        <v>High Priority</v>
      </c>
      <c r="T12" s="9" t="s">
        <v>10</v>
      </c>
      <c r="U12" s="9"/>
      <c r="V12" s="9" t="s">
        <v>21</v>
      </c>
      <c r="W12" s="7"/>
      <c r="X12" s="7"/>
      <c r="Y12" s="7"/>
      <c r="Z12" s="7"/>
    </row>
    <row r="13">
      <c r="A13" s="7" t="str">
        <f>IFERROR(__xludf.DUMMYFUNCTION("""COMPUTED_VALUE"""),"TCM_dKosh_General_SMF1_030_051")</f>
        <v>TCM_dKosh_General_SMF1_030_051</v>
      </c>
      <c r="B13" s="7" t="str">
        <f>IFERROR(__xludf.DUMMYFUNCTION("""COMPUTED_VALUE"""),"TP_dKosh_General_SMF1_030")</f>
        <v>TP_dKosh_General_SMF1_030</v>
      </c>
      <c r="C13" s="7">
        <f>IFERROR(__xludf.DUMMYFUNCTION("""COMPUTED_VALUE"""),51.0)</f>
        <v>51</v>
      </c>
      <c r="D13" s="7" t="str">
        <f>IFERROR(__xludf.DUMMYFUNCTION("""COMPUTED_VALUE"""),"")</f>
        <v/>
      </c>
      <c r="E13" s="7" t="str">
        <f>IFERROR(__xludf.DUMMYFUNCTION("""COMPUTED_VALUE"""),"Create Employee Group")</f>
        <v>Create Employee Group</v>
      </c>
      <c r="F13" s="7" t="str">
        <f>IFERROR(__xludf.DUMMYFUNCTION("""COMPUTED_VALUE"""),"M")</f>
        <v>M</v>
      </c>
      <c r="G13" s="7" t="str">
        <f>IFERROR(__xludf.DUMMYFUNCTION("""COMPUTED_VALUE"""),"Jaikishan")</f>
        <v>Jaikishan</v>
      </c>
      <c r="H13" s="7" t="str">
        <f>IFERROR(__xludf.DUMMYFUNCTION("""COMPUTED_VALUE"""),"Unit")</f>
        <v>Unit</v>
      </c>
      <c r="I13" s="7" t="str">
        <f>IFERROR(__xludf.DUMMYFUNCTION("""COMPUTED_VALUE"""),"1. Employee group already create with any Branch.
2. Employees mapped with that Branch.")</f>
        <v>1. Employee group already create with any Branch.
2. Employees mapped with that Branch.</v>
      </c>
      <c r="J13" s="7" t="str">
        <f>IFERROR(__xludf.DUMMYFUNCTION("""COMPUTED_VALUE"""),"Verify, ""Employees in group"" list when user Create new employee in selected Branch.")</f>
        <v>Verify, "Employees in group" list when user Create new employee in selected Branch.</v>
      </c>
      <c r="K13" s="7" t="str">
        <f>IFERROR(__xludf.DUMMYFUNCTION("""COMPUTED_VALUE"""),"1. Go to HCMS.
2. Go To ""Employees""
3. Go to ""Employee Group""
4. Click on Employee group name.
5. Create new Employee from HCMS.
6. Employee mapped with Branch
7. Check in Employee in group list.")</f>
        <v>1. Go to HCMS.
2. Go To "Employees"
3. Go to "Employee Group"
4. Click on Employee group name.
5. Create new Employee from HCMS.
6. Employee mapped with Branch
7. Check in Employee in group list.</v>
      </c>
      <c r="L13" s="7" t="str">
        <f>IFERROR(__xludf.DUMMYFUNCTION("""COMPUTED_VALUE"""),"New Created Employee should show in ""Employee in group"" list.")</f>
        <v>New Created Employee should show in "Employee in group" list.</v>
      </c>
      <c r="M13" s="7" t="str">
        <f>IFERROR(__xludf.DUMMYFUNCTION("""COMPUTED_VALUE"""),"")</f>
        <v/>
      </c>
      <c r="N13" s="7" t="str">
        <f>IFERROR(__xludf.DUMMYFUNCTION("""COMPUTED_VALUE"""),"Un-Approved Employee data showing in list.
")</f>
        <v>Un-Approved Employee data showing in list.
</v>
      </c>
      <c r="O13" s="7" t="str">
        <f>IFERROR(__xludf.DUMMYFUNCTION("""COMPUTED_VALUE"""),"Fail")</f>
        <v>Fail</v>
      </c>
      <c r="P13" s="7" t="str">
        <f>IFERROR(__xludf.DUMMYFUNCTION("""COMPUTED_VALUE"""),"Jaikishan")</f>
        <v>Jaikishan</v>
      </c>
      <c r="Q13" s="8">
        <f>IFERROR(__xludf.DUMMYFUNCTION("""COMPUTED_VALUE"""),43792.0)</f>
        <v>43792</v>
      </c>
      <c r="R13" s="7" t="str">
        <f>IFERROR(__xludf.DUMMYFUNCTION("""COMPUTED_VALUE"""),"TR2019_W47")</f>
        <v>TR2019_W47</v>
      </c>
      <c r="S13" s="7" t="str">
        <f>IFERROR(__xludf.DUMMYFUNCTION("""COMPUTED_VALUE"""),"")</f>
        <v/>
      </c>
      <c r="T13" s="9" t="s">
        <v>10</v>
      </c>
      <c r="U13" s="7"/>
      <c r="V13" s="9" t="s">
        <v>21</v>
      </c>
      <c r="W13" s="7"/>
      <c r="X13" s="7"/>
      <c r="Y13" s="7"/>
      <c r="Z13" s="7"/>
    </row>
    <row r="14">
      <c r="A14" s="7" t="str">
        <f>IFERROR(__xludf.DUMMYFUNCTION("""COMPUTED_VALUE"""),"TCM_dKosh_General_SMF1_033_054")</f>
        <v>TCM_dKosh_General_SMF1_033_054</v>
      </c>
      <c r="B14" s="7" t="str">
        <f>IFERROR(__xludf.DUMMYFUNCTION("""COMPUTED_VALUE"""),"TP_dKosh_General_SMF1_033")</f>
        <v>TP_dKosh_General_SMF1_033</v>
      </c>
      <c r="C14" s="7">
        <f>IFERROR(__xludf.DUMMYFUNCTION("""COMPUTED_VALUE"""),54.0)</f>
        <v>54</v>
      </c>
      <c r="D14" s="7" t="str">
        <f>IFERROR(__xludf.DUMMYFUNCTION("""COMPUTED_VALUE"""),"")</f>
        <v/>
      </c>
      <c r="E14" s="7" t="str">
        <f>IFERROR(__xludf.DUMMYFUNCTION("""COMPUTED_VALUE"""),"Create Employee Group")</f>
        <v>Create Employee Group</v>
      </c>
      <c r="F14" s="7" t="str">
        <f>IFERROR(__xludf.DUMMYFUNCTION("""COMPUTED_VALUE"""),"M")</f>
        <v>M</v>
      </c>
      <c r="G14" s="7" t="str">
        <f>IFERROR(__xludf.DUMMYFUNCTION("""COMPUTED_VALUE"""),"Jaikishan")</f>
        <v>Jaikishan</v>
      </c>
      <c r="H14" s="7" t="str">
        <f>IFERROR(__xludf.DUMMYFUNCTION("""COMPUTED_VALUE"""),"Unit")</f>
        <v>Unit</v>
      </c>
      <c r="I14" s="7" t="str">
        <f>IFERROR(__xludf.DUMMYFUNCTION("""COMPUTED_VALUE"""),"1. Employees mapped with any Branch.")</f>
        <v>1. Employees mapped with any Branch.</v>
      </c>
      <c r="J14" s="7" t="str">
        <f>IFERROR(__xludf.DUMMYFUNCTION("""COMPUTED_VALUE"""),"Verify, ""Employees in group"" when user select multiple Branch.")</f>
        <v>Verify, "Employees in group" when user select multiple Branch.</v>
      </c>
      <c r="K14" s="7" t="str">
        <f>IFERROR(__xludf.DUMMYFUNCTION("""COMPUTED_VALUE"""),"1. Go to HCMS.
2. Go To ""Employees""
3. Go to ""Employee Group""
4. Click on ""+"" button
5. Click on Branch field
6. Select multiple Branch.
7. Click on ""Save"" button.")</f>
        <v>1. Go to HCMS.
2. Go To "Employees"
3. Go to "Employee Group"
4. Click on "+" button
5. Click on Branch field
6. Select multiple Branch.
7. Click on "Save" button.</v>
      </c>
      <c r="L14" s="7" t="str">
        <f>IFERROR(__xludf.DUMMYFUNCTION("""COMPUTED_VALUE"""),"All employees of selected Branch should be showing in ""Employees in group"" list.
")</f>
        <v>All employees of selected Branch should be showing in "Employees in group" list.
</v>
      </c>
      <c r="M14" s="7" t="str">
        <f>IFERROR(__xludf.DUMMYFUNCTION("""COMPUTED_VALUE"""),"")</f>
        <v/>
      </c>
      <c r="N14" s="7" t="str">
        <f>IFERROR(__xludf.DUMMYFUNCTION("""COMPUTED_VALUE"""),"Current and Ex employee both showing in List.")</f>
        <v>Current and Ex employee both showing in List.</v>
      </c>
      <c r="O14" s="7" t="str">
        <f>IFERROR(__xludf.DUMMYFUNCTION("""COMPUTED_VALUE"""),"Fail")</f>
        <v>Fail</v>
      </c>
      <c r="P14" s="7" t="str">
        <f>IFERROR(__xludf.DUMMYFUNCTION("""COMPUTED_VALUE"""),"Jaikishan")</f>
        <v>Jaikishan</v>
      </c>
      <c r="Q14" s="8">
        <f>IFERROR(__xludf.DUMMYFUNCTION("""COMPUTED_VALUE"""),43792.0)</f>
        <v>43792</v>
      </c>
      <c r="R14" s="7" t="str">
        <f>IFERROR(__xludf.DUMMYFUNCTION("""COMPUTED_VALUE"""),"TR2019_W47")</f>
        <v>TR2019_W47</v>
      </c>
      <c r="S14" s="7" t="str">
        <f>IFERROR(__xludf.DUMMYFUNCTION("""COMPUTED_VALUE"""),"")</f>
        <v/>
      </c>
      <c r="T14" s="9" t="s">
        <v>10</v>
      </c>
      <c r="U14" s="7"/>
      <c r="V14" s="9" t="s">
        <v>21</v>
      </c>
      <c r="W14" s="7"/>
      <c r="X14" s="7"/>
      <c r="Y14" s="7"/>
      <c r="Z14" s="7"/>
    </row>
    <row r="15">
      <c r="A15" s="7" t="str">
        <f>IFERROR(__xludf.DUMMYFUNCTION("""COMPUTED_VALUE"""),"TCM_dKosh_General_SMF1_030_058")</f>
        <v>TCM_dKosh_General_SMF1_030_058</v>
      </c>
      <c r="B15" s="7" t="str">
        <f>IFERROR(__xludf.DUMMYFUNCTION("""COMPUTED_VALUE"""),"TP_dKosh_General_SMF1_030")</f>
        <v>TP_dKosh_General_SMF1_030</v>
      </c>
      <c r="C15" s="7">
        <f>IFERROR(__xludf.DUMMYFUNCTION("""COMPUTED_VALUE"""),58.0)</f>
        <v>58</v>
      </c>
      <c r="D15" s="7" t="str">
        <f>IFERROR(__xludf.DUMMYFUNCTION("""COMPUTED_VALUE"""),"")</f>
        <v/>
      </c>
      <c r="E15" s="7" t="str">
        <f>IFERROR(__xludf.DUMMYFUNCTION("""COMPUTED_VALUE"""),"Create Employee Group")</f>
        <v>Create Employee Group</v>
      </c>
      <c r="F15" s="7" t="str">
        <f>IFERROR(__xludf.DUMMYFUNCTION("""COMPUTED_VALUE"""),"M")</f>
        <v>M</v>
      </c>
      <c r="G15" s="7" t="str">
        <f>IFERROR(__xludf.DUMMYFUNCTION("""COMPUTED_VALUE"""),"Jaikishan")</f>
        <v>Jaikishan</v>
      </c>
      <c r="H15" s="7" t="str">
        <f>IFERROR(__xludf.DUMMYFUNCTION("""COMPUTED_VALUE"""),"Unit")</f>
        <v>Unit</v>
      </c>
      <c r="I15" s="7" t="str">
        <f>IFERROR(__xludf.DUMMYFUNCTION("""COMPUTED_VALUE"""),"1. Employee group already create with any Division.
2. Employees mapped with that Division.")</f>
        <v>1. Employee group already create with any Division.
2. Employees mapped with that Division.</v>
      </c>
      <c r="J15" s="7" t="str">
        <f>IFERROR(__xludf.DUMMYFUNCTION("""COMPUTED_VALUE"""),"Verify, ""Employees in group"" list when user Create new employee in selected Division.")</f>
        <v>Verify, "Employees in group" list when user Create new employee in selected Division.</v>
      </c>
      <c r="K15" s="7" t="str">
        <f>IFERROR(__xludf.DUMMYFUNCTION("""COMPUTED_VALUE"""),"1. Go to HCMS.
2. Go To ""Employees""
3. Go to ""Employee Group""
4. Click on Employee group name.
5. Create new Employee from HCMS.
6. Employee mapped with Division
7. Check in Employee in group list.")</f>
        <v>1. Go to HCMS.
2. Go To "Employees"
3. Go to "Employee Group"
4. Click on Employee group name.
5. Create new Employee from HCMS.
6. Employee mapped with Division
7. Check in Employee in group list.</v>
      </c>
      <c r="L15" s="7" t="str">
        <f>IFERROR(__xludf.DUMMYFUNCTION("""COMPUTED_VALUE"""),"New Created Employee should show in ""Employee in group"" list.")</f>
        <v>New Created Employee should show in "Employee in group" list.</v>
      </c>
      <c r="M15" s="7" t="str">
        <f>IFERROR(__xludf.DUMMYFUNCTION("""COMPUTED_VALUE"""),"")</f>
        <v/>
      </c>
      <c r="N15" s="7" t="str">
        <f>IFERROR(__xludf.DUMMYFUNCTION("""COMPUTED_VALUE"""),"Un-Approved Employee data showing in list.
")</f>
        <v>Un-Approved Employee data showing in list.
</v>
      </c>
      <c r="O15" s="7" t="str">
        <f>IFERROR(__xludf.DUMMYFUNCTION("""COMPUTED_VALUE"""),"Fail")</f>
        <v>Fail</v>
      </c>
      <c r="P15" s="7" t="str">
        <f>IFERROR(__xludf.DUMMYFUNCTION("""COMPUTED_VALUE"""),"Jaikishan")</f>
        <v>Jaikishan</v>
      </c>
      <c r="Q15" s="8">
        <f>IFERROR(__xludf.DUMMYFUNCTION("""COMPUTED_VALUE"""),43792.0)</f>
        <v>43792</v>
      </c>
      <c r="R15" s="7" t="str">
        <f>IFERROR(__xludf.DUMMYFUNCTION("""COMPUTED_VALUE"""),"TR2019_W47")</f>
        <v>TR2019_W47</v>
      </c>
      <c r="S15" s="7" t="str">
        <f>IFERROR(__xludf.DUMMYFUNCTION("""COMPUTED_VALUE"""),"")</f>
        <v/>
      </c>
      <c r="T15" s="9" t="s">
        <v>10</v>
      </c>
      <c r="U15" s="7"/>
      <c r="V15" s="9" t="s">
        <v>21</v>
      </c>
      <c r="W15" s="7"/>
      <c r="X15" s="7"/>
      <c r="Y15" s="7"/>
      <c r="Z15" s="7"/>
    </row>
    <row r="16">
      <c r="A16" s="7" t="str">
        <f>IFERROR(__xludf.DUMMYFUNCTION("""COMPUTED_VALUE"""),"TCM_dKosh_General_SMF1_033_061")</f>
        <v>TCM_dKosh_General_SMF1_033_061</v>
      </c>
      <c r="B16" s="7" t="str">
        <f>IFERROR(__xludf.DUMMYFUNCTION("""COMPUTED_VALUE"""),"TP_dKosh_General_SMF1_033")</f>
        <v>TP_dKosh_General_SMF1_033</v>
      </c>
      <c r="C16" s="7">
        <f>IFERROR(__xludf.DUMMYFUNCTION("""COMPUTED_VALUE"""),61.0)</f>
        <v>61</v>
      </c>
      <c r="D16" s="7" t="str">
        <f>IFERROR(__xludf.DUMMYFUNCTION("""COMPUTED_VALUE"""),"")</f>
        <v/>
      </c>
      <c r="E16" s="7" t="str">
        <f>IFERROR(__xludf.DUMMYFUNCTION("""COMPUTED_VALUE"""),"Create Employee Group")</f>
        <v>Create Employee Group</v>
      </c>
      <c r="F16" s="7" t="str">
        <f>IFERROR(__xludf.DUMMYFUNCTION("""COMPUTED_VALUE"""),"M")</f>
        <v>M</v>
      </c>
      <c r="G16" s="7" t="str">
        <f>IFERROR(__xludf.DUMMYFUNCTION("""COMPUTED_VALUE"""),"Jaikishan")</f>
        <v>Jaikishan</v>
      </c>
      <c r="H16" s="7" t="str">
        <f>IFERROR(__xludf.DUMMYFUNCTION("""COMPUTED_VALUE"""),"Unit")</f>
        <v>Unit</v>
      </c>
      <c r="I16" s="7" t="str">
        <f>IFERROR(__xludf.DUMMYFUNCTION("""COMPUTED_VALUE"""),"1. Employees mapped with any Division.")</f>
        <v>1. Employees mapped with any Division.</v>
      </c>
      <c r="J16" s="7" t="str">
        <f>IFERROR(__xludf.DUMMYFUNCTION("""COMPUTED_VALUE"""),"Verify, ""Employees in group"" when user select multiple Division.")</f>
        <v>Verify, "Employees in group" when user select multiple Division.</v>
      </c>
      <c r="K16" s="7" t="str">
        <f>IFERROR(__xludf.DUMMYFUNCTION("""COMPUTED_VALUE"""),"1. Go to HCMS.
2. Go To ""Employees""
3. Go to ""Employee Group""
4. Click on ""+"" button
5. Click on Division field
6. Select multiple Division.
7. Click on ""Save"" button.")</f>
        <v>1. Go to HCMS.
2. Go To "Employees"
3. Go to "Employee Group"
4. Click on "+" button
5. Click on Division field
6. Select multiple Division.
7. Click on "Save" button.</v>
      </c>
      <c r="L16" s="7" t="str">
        <f>IFERROR(__xludf.DUMMYFUNCTION("""COMPUTED_VALUE"""),"All employees of selected Division should be showing in ""Employees in group"" list.
")</f>
        <v>All employees of selected Division should be showing in "Employees in group" list.
</v>
      </c>
      <c r="M16" s="7" t="str">
        <f>IFERROR(__xludf.DUMMYFUNCTION("""COMPUTED_VALUE"""),"")</f>
        <v/>
      </c>
      <c r="N16" s="7" t="str">
        <f>IFERROR(__xludf.DUMMYFUNCTION("""COMPUTED_VALUE"""),"Current and Ex employee both showing in List.")</f>
        <v>Current and Ex employee both showing in List.</v>
      </c>
      <c r="O16" s="7" t="str">
        <f>IFERROR(__xludf.DUMMYFUNCTION("""COMPUTED_VALUE"""),"Fail")</f>
        <v>Fail</v>
      </c>
      <c r="P16" s="7" t="str">
        <f>IFERROR(__xludf.DUMMYFUNCTION("""COMPUTED_VALUE"""),"Jaikishan")</f>
        <v>Jaikishan</v>
      </c>
      <c r="Q16" s="8">
        <f>IFERROR(__xludf.DUMMYFUNCTION("""COMPUTED_VALUE"""),43792.0)</f>
        <v>43792</v>
      </c>
      <c r="R16" s="7" t="str">
        <f>IFERROR(__xludf.DUMMYFUNCTION("""COMPUTED_VALUE"""),"TR2019_W47")</f>
        <v>TR2019_W47</v>
      </c>
      <c r="S16" s="7" t="str">
        <f>IFERROR(__xludf.DUMMYFUNCTION("""COMPUTED_VALUE"""),"")</f>
        <v/>
      </c>
      <c r="T16" s="9" t="s">
        <v>10</v>
      </c>
      <c r="U16" s="7"/>
      <c r="V16" s="9" t="s">
        <v>21</v>
      </c>
      <c r="W16" s="7"/>
      <c r="X16" s="7"/>
      <c r="Y16" s="7"/>
      <c r="Z16" s="7"/>
    </row>
    <row r="17">
      <c r="A17" s="7" t="str">
        <f>IFERROR(__xludf.DUMMYFUNCTION("""COMPUTED_VALUE"""),"TCM_dKosh_General_SMF1_030_065")</f>
        <v>TCM_dKosh_General_SMF1_030_065</v>
      </c>
      <c r="B17" s="7" t="str">
        <f>IFERROR(__xludf.DUMMYFUNCTION("""COMPUTED_VALUE"""),"TP_dKosh_General_SMF1_030")</f>
        <v>TP_dKosh_General_SMF1_030</v>
      </c>
      <c r="C17" s="7">
        <f>IFERROR(__xludf.DUMMYFUNCTION("""COMPUTED_VALUE"""),65.0)</f>
        <v>65</v>
      </c>
      <c r="D17" s="7" t="str">
        <f>IFERROR(__xludf.DUMMYFUNCTION("""COMPUTED_VALUE"""),"")</f>
        <v/>
      </c>
      <c r="E17" s="7" t="str">
        <f>IFERROR(__xludf.DUMMYFUNCTION("""COMPUTED_VALUE"""),"Create Employee Group")</f>
        <v>Create Employee Group</v>
      </c>
      <c r="F17" s="7" t="str">
        <f>IFERROR(__xludf.DUMMYFUNCTION("""COMPUTED_VALUE"""),"M")</f>
        <v>M</v>
      </c>
      <c r="G17" s="7" t="str">
        <f>IFERROR(__xludf.DUMMYFUNCTION("""COMPUTED_VALUE"""),"Jaikishan")</f>
        <v>Jaikishan</v>
      </c>
      <c r="H17" s="7" t="str">
        <f>IFERROR(__xludf.DUMMYFUNCTION("""COMPUTED_VALUE"""),"Unit")</f>
        <v>Unit</v>
      </c>
      <c r="I17" s="7" t="str">
        <f>IFERROR(__xludf.DUMMYFUNCTION("""COMPUTED_VALUE"""),"1. Employee group already create with any Department.
2. Employees mapped with that Department.")</f>
        <v>1. Employee group already create with any Department.
2. Employees mapped with that Department.</v>
      </c>
      <c r="J17" s="7" t="str">
        <f>IFERROR(__xludf.DUMMYFUNCTION("""COMPUTED_VALUE"""),"Verify, ""Employees in group"" list when user Create new employee in selected Department.")</f>
        <v>Verify, "Employees in group" list when user Create new employee in selected Department.</v>
      </c>
      <c r="K17" s="7" t="str">
        <f>IFERROR(__xludf.DUMMYFUNCTION("""COMPUTED_VALUE"""),"1. Go to HCMS.
2. Go To ""Employees""
3. Go to ""Employee Group""
4. Click on Employee group name.
5. Create new Employee from HCMS.
6. Employee mapped with Department
7. Check in Employee in group list.")</f>
        <v>1. Go to HCMS.
2. Go To "Employees"
3. Go to "Employee Group"
4. Click on Employee group name.
5. Create new Employee from HCMS.
6. Employee mapped with Department
7. Check in Employee in group list.</v>
      </c>
      <c r="L17" s="7" t="str">
        <f>IFERROR(__xludf.DUMMYFUNCTION("""COMPUTED_VALUE"""),"New Created Employee should show in ""Employee in group"" list.")</f>
        <v>New Created Employee should show in "Employee in group" list.</v>
      </c>
      <c r="M17" s="7" t="str">
        <f>IFERROR(__xludf.DUMMYFUNCTION("""COMPUTED_VALUE"""),"")</f>
        <v/>
      </c>
      <c r="N17" s="7" t="str">
        <f>IFERROR(__xludf.DUMMYFUNCTION("""COMPUTED_VALUE"""),"Un-Approved Employee data showing in list.
")</f>
        <v>Un-Approved Employee data showing in list.
</v>
      </c>
      <c r="O17" s="7" t="str">
        <f>IFERROR(__xludf.DUMMYFUNCTION("""COMPUTED_VALUE"""),"Fail")</f>
        <v>Fail</v>
      </c>
      <c r="P17" s="7" t="str">
        <f>IFERROR(__xludf.DUMMYFUNCTION("""COMPUTED_VALUE"""),"Jaikishan")</f>
        <v>Jaikishan</v>
      </c>
      <c r="Q17" s="8">
        <f>IFERROR(__xludf.DUMMYFUNCTION("""COMPUTED_VALUE"""),43792.0)</f>
        <v>43792</v>
      </c>
      <c r="R17" s="7" t="str">
        <f>IFERROR(__xludf.DUMMYFUNCTION("""COMPUTED_VALUE"""),"TR2019_W47")</f>
        <v>TR2019_W47</v>
      </c>
      <c r="S17" s="7" t="str">
        <f>IFERROR(__xludf.DUMMYFUNCTION("""COMPUTED_VALUE"""),"")</f>
        <v/>
      </c>
      <c r="T17" s="9" t="s">
        <v>10</v>
      </c>
      <c r="U17" s="7"/>
      <c r="V17" s="9" t="s">
        <v>21</v>
      </c>
      <c r="W17" s="7"/>
      <c r="X17" s="7"/>
      <c r="Y17" s="7"/>
      <c r="Z17" s="7"/>
    </row>
    <row r="18">
      <c r="A18" s="7" t="str">
        <f>IFERROR(__xludf.DUMMYFUNCTION("""COMPUTED_VALUE"""),"TCM_dKosh_General_SMF1_033_068")</f>
        <v>TCM_dKosh_General_SMF1_033_068</v>
      </c>
      <c r="B18" s="7" t="str">
        <f>IFERROR(__xludf.DUMMYFUNCTION("""COMPUTED_VALUE"""),"TP_dKosh_General_SMF1_033")</f>
        <v>TP_dKosh_General_SMF1_033</v>
      </c>
      <c r="C18" s="7">
        <f>IFERROR(__xludf.DUMMYFUNCTION("""COMPUTED_VALUE"""),68.0)</f>
        <v>68</v>
      </c>
      <c r="D18" s="7" t="str">
        <f>IFERROR(__xludf.DUMMYFUNCTION("""COMPUTED_VALUE"""),"")</f>
        <v/>
      </c>
      <c r="E18" s="7" t="str">
        <f>IFERROR(__xludf.DUMMYFUNCTION("""COMPUTED_VALUE"""),"Create Employee Group")</f>
        <v>Create Employee Group</v>
      </c>
      <c r="F18" s="7" t="str">
        <f>IFERROR(__xludf.DUMMYFUNCTION("""COMPUTED_VALUE"""),"M")</f>
        <v>M</v>
      </c>
      <c r="G18" s="7" t="str">
        <f>IFERROR(__xludf.DUMMYFUNCTION("""COMPUTED_VALUE"""),"Jaikishan")</f>
        <v>Jaikishan</v>
      </c>
      <c r="H18" s="7" t="str">
        <f>IFERROR(__xludf.DUMMYFUNCTION("""COMPUTED_VALUE"""),"Unit")</f>
        <v>Unit</v>
      </c>
      <c r="I18" s="7" t="str">
        <f>IFERROR(__xludf.DUMMYFUNCTION("""COMPUTED_VALUE"""),"1. Employees mapped with any Department.")</f>
        <v>1. Employees mapped with any Department.</v>
      </c>
      <c r="J18" s="7" t="str">
        <f>IFERROR(__xludf.DUMMYFUNCTION("""COMPUTED_VALUE"""),"Verify, ""Employees in group"" when user select multiple Department.")</f>
        <v>Verify, "Employees in group" when user select multiple Department.</v>
      </c>
      <c r="K18" s="7" t="str">
        <f>IFERROR(__xludf.DUMMYFUNCTION("""COMPUTED_VALUE"""),"1. Go to HCMS.
2. Go To ""Employees""
3. Go to ""Employee Group""
4. Click on ""+"" button
5. Click on Department field
6. Select multiple Department.
7. Click on ""Save"" button.")</f>
        <v>1. Go to HCMS.
2. Go To "Employees"
3. Go to "Employee Group"
4. Click on "+" button
5. Click on Department field
6. Select multiple Department.
7. Click on "Save" button.</v>
      </c>
      <c r="L18" s="7" t="str">
        <f>IFERROR(__xludf.DUMMYFUNCTION("""COMPUTED_VALUE"""),"All employees of selected Department should be showing in ""Employees in group"" list.
")</f>
        <v>All employees of selected Department should be showing in "Employees in group" list.
</v>
      </c>
      <c r="M18" s="7" t="str">
        <f>IFERROR(__xludf.DUMMYFUNCTION("""COMPUTED_VALUE"""),"")</f>
        <v/>
      </c>
      <c r="N18" s="7" t="str">
        <f>IFERROR(__xludf.DUMMYFUNCTION("""COMPUTED_VALUE"""),"Current and Ex employee both showing in List.")</f>
        <v>Current and Ex employee both showing in List.</v>
      </c>
      <c r="O18" s="7" t="str">
        <f>IFERROR(__xludf.DUMMYFUNCTION("""COMPUTED_VALUE"""),"Fail")</f>
        <v>Fail</v>
      </c>
      <c r="P18" s="7" t="str">
        <f>IFERROR(__xludf.DUMMYFUNCTION("""COMPUTED_VALUE"""),"Jaikishan")</f>
        <v>Jaikishan</v>
      </c>
      <c r="Q18" s="8">
        <f>IFERROR(__xludf.DUMMYFUNCTION("""COMPUTED_VALUE"""),43792.0)</f>
        <v>43792</v>
      </c>
      <c r="R18" s="7" t="str">
        <f>IFERROR(__xludf.DUMMYFUNCTION("""COMPUTED_VALUE"""),"TR2019_W47")</f>
        <v>TR2019_W47</v>
      </c>
      <c r="S18" s="7" t="str">
        <f>IFERROR(__xludf.DUMMYFUNCTION("""COMPUTED_VALUE"""),"")</f>
        <v/>
      </c>
      <c r="T18" s="9" t="s">
        <v>10</v>
      </c>
      <c r="U18" s="7"/>
      <c r="V18" s="9" t="s">
        <v>21</v>
      </c>
      <c r="W18" s="7"/>
      <c r="X18" s="7"/>
      <c r="Y18" s="7"/>
      <c r="Z18" s="7"/>
    </row>
    <row r="19">
      <c r="A19" s="7" t="str">
        <f>IFERROR(__xludf.DUMMYFUNCTION("""COMPUTED_VALUE"""),"TCM_dKosh_General_SMF1_030_072")</f>
        <v>TCM_dKosh_General_SMF1_030_072</v>
      </c>
      <c r="B19" s="7" t="str">
        <f>IFERROR(__xludf.DUMMYFUNCTION("""COMPUTED_VALUE"""),"TP_dKosh_General_SMF1_030")</f>
        <v>TP_dKosh_General_SMF1_030</v>
      </c>
      <c r="C19" s="7">
        <f>IFERROR(__xludf.DUMMYFUNCTION("""COMPUTED_VALUE"""),72.0)</f>
        <v>72</v>
      </c>
      <c r="D19" s="7" t="str">
        <f>IFERROR(__xludf.DUMMYFUNCTION("""COMPUTED_VALUE"""),"")</f>
        <v/>
      </c>
      <c r="E19" s="7" t="str">
        <f>IFERROR(__xludf.DUMMYFUNCTION("""COMPUTED_VALUE"""),"Create Employee Group")</f>
        <v>Create Employee Group</v>
      </c>
      <c r="F19" s="7" t="str">
        <f>IFERROR(__xludf.DUMMYFUNCTION("""COMPUTED_VALUE"""),"M")</f>
        <v>M</v>
      </c>
      <c r="G19" s="7" t="str">
        <f>IFERROR(__xludf.DUMMYFUNCTION("""COMPUTED_VALUE"""),"Jaikishan")</f>
        <v>Jaikishan</v>
      </c>
      <c r="H19" s="7" t="str">
        <f>IFERROR(__xludf.DUMMYFUNCTION("""COMPUTED_VALUE"""),"Unit")</f>
        <v>Unit</v>
      </c>
      <c r="I19" s="7" t="str">
        <f>IFERROR(__xludf.DUMMYFUNCTION("""COMPUTED_VALUE"""),"1. Employee group already create with any Designation.
2. Employees mapped with that Designation.")</f>
        <v>1. Employee group already create with any Designation.
2. Employees mapped with that Designation.</v>
      </c>
      <c r="J19" s="7" t="str">
        <f>IFERROR(__xludf.DUMMYFUNCTION("""COMPUTED_VALUE"""),"Verify, ""Employees in group"" list when user Create new employee in selected Designation.")</f>
        <v>Verify, "Employees in group" list when user Create new employee in selected Designation.</v>
      </c>
      <c r="K19" s="7" t="str">
        <f>IFERROR(__xludf.DUMMYFUNCTION("""COMPUTED_VALUE"""),"1. Go to HCMS.
2. Go To ""Employees""
3. Go to ""Employee Group""
4. Click on Employee group name.
5. Create new Employee from HCMS.
6. Employee mapped with Designation
7. Check in Employee in group list.")</f>
        <v>1. Go to HCMS.
2. Go To "Employees"
3. Go to "Employee Group"
4. Click on Employee group name.
5. Create new Employee from HCMS.
6. Employee mapped with Designation
7. Check in Employee in group list.</v>
      </c>
      <c r="L19" s="7" t="str">
        <f>IFERROR(__xludf.DUMMYFUNCTION("""COMPUTED_VALUE"""),"New Created Employee should show in ""Employee in group"" list.")</f>
        <v>New Created Employee should show in "Employee in group" list.</v>
      </c>
      <c r="M19" s="7" t="str">
        <f>IFERROR(__xludf.DUMMYFUNCTION("""COMPUTED_VALUE"""),"")</f>
        <v/>
      </c>
      <c r="N19" s="7" t="str">
        <f>IFERROR(__xludf.DUMMYFUNCTION("""COMPUTED_VALUE"""),"Un-Approved Employee data showing in list.
")</f>
        <v>Un-Approved Employee data showing in list.
</v>
      </c>
      <c r="O19" s="7" t="str">
        <f>IFERROR(__xludf.DUMMYFUNCTION("""COMPUTED_VALUE"""),"Fail")</f>
        <v>Fail</v>
      </c>
      <c r="P19" s="7" t="str">
        <f>IFERROR(__xludf.DUMMYFUNCTION("""COMPUTED_VALUE"""),"Jaikishan")</f>
        <v>Jaikishan</v>
      </c>
      <c r="Q19" s="8">
        <f>IFERROR(__xludf.DUMMYFUNCTION("""COMPUTED_VALUE"""),43792.0)</f>
        <v>43792</v>
      </c>
      <c r="R19" s="7" t="str">
        <f>IFERROR(__xludf.DUMMYFUNCTION("""COMPUTED_VALUE"""),"TR2019_W47")</f>
        <v>TR2019_W47</v>
      </c>
      <c r="S19" s="7" t="str">
        <f>IFERROR(__xludf.DUMMYFUNCTION("""COMPUTED_VALUE"""),"")</f>
        <v/>
      </c>
      <c r="T19" s="9" t="s">
        <v>10</v>
      </c>
      <c r="U19" s="7"/>
      <c r="V19" s="9" t="s">
        <v>21</v>
      </c>
      <c r="W19" s="7"/>
      <c r="X19" s="7"/>
      <c r="Y19" s="7"/>
      <c r="Z19" s="7"/>
    </row>
    <row r="20">
      <c r="A20" s="7" t="str">
        <f>IFERROR(__xludf.DUMMYFUNCTION("""COMPUTED_VALUE"""),"TCM_dKosh_General_SMF1_033_075")</f>
        <v>TCM_dKosh_General_SMF1_033_075</v>
      </c>
      <c r="B20" s="7" t="str">
        <f>IFERROR(__xludf.DUMMYFUNCTION("""COMPUTED_VALUE"""),"TP_dKosh_General_SMF1_033")</f>
        <v>TP_dKosh_General_SMF1_033</v>
      </c>
      <c r="C20" s="7">
        <f>IFERROR(__xludf.DUMMYFUNCTION("""COMPUTED_VALUE"""),75.0)</f>
        <v>75</v>
      </c>
      <c r="D20" s="7" t="str">
        <f>IFERROR(__xludf.DUMMYFUNCTION("""COMPUTED_VALUE"""),"")</f>
        <v/>
      </c>
      <c r="E20" s="7" t="str">
        <f>IFERROR(__xludf.DUMMYFUNCTION("""COMPUTED_VALUE"""),"Create Employee Group")</f>
        <v>Create Employee Group</v>
      </c>
      <c r="F20" s="7" t="str">
        <f>IFERROR(__xludf.DUMMYFUNCTION("""COMPUTED_VALUE"""),"M")</f>
        <v>M</v>
      </c>
      <c r="G20" s="7" t="str">
        <f>IFERROR(__xludf.DUMMYFUNCTION("""COMPUTED_VALUE"""),"Jaikishan")</f>
        <v>Jaikishan</v>
      </c>
      <c r="H20" s="7" t="str">
        <f>IFERROR(__xludf.DUMMYFUNCTION("""COMPUTED_VALUE"""),"Unit")</f>
        <v>Unit</v>
      </c>
      <c r="I20" s="7" t="str">
        <f>IFERROR(__xludf.DUMMYFUNCTION("""COMPUTED_VALUE"""),"1. Employees mapped with any Designation.")</f>
        <v>1. Employees mapped with any Designation.</v>
      </c>
      <c r="J20" s="7" t="str">
        <f>IFERROR(__xludf.DUMMYFUNCTION("""COMPUTED_VALUE"""),"Verify, ""Employees in group"" when user select multiple Designation.")</f>
        <v>Verify, "Employees in group" when user select multiple Designation.</v>
      </c>
      <c r="K20" s="7" t="str">
        <f>IFERROR(__xludf.DUMMYFUNCTION("""COMPUTED_VALUE"""),"1. Go to HCMS.
2. Go To ""Employees""
3. Go to ""Employee Group""
4. Click on ""+"" button
5. Click on Designation field
6. Select multiple Designation.
7. Click on ""Save"" button.")</f>
        <v>1. Go to HCMS.
2. Go To "Employees"
3. Go to "Employee Group"
4. Click on "+" button
5. Click on Designation field
6. Select multiple Designation.
7. Click on "Save" button.</v>
      </c>
      <c r="L20" s="7" t="str">
        <f>IFERROR(__xludf.DUMMYFUNCTION("""COMPUTED_VALUE"""),"All employees of selected Designation should be showing in ""Employees in group"" list.
")</f>
        <v>All employees of selected Designation should be showing in "Employees in group" list.
</v>
      </c>
      <c r="M20" s="7" t="str">
        <f>IFERROR(__xludf.DUMMYFUNCTION("""COMPUTED_VALUE"""),"")</f>
        <v/>
      </c>
      <c r="N20" s="7" t="str">
        <f>IFERROR(__xludf.DUMMYFUNCTION("""COMPUTED_VALUE"""),"Current and Ex employee both showing in List.")</f>
        <v>Current and Ex employee both showing in List.</v>
      </c>
      <c r="O20" s="7" t="str">
        <f>IFERROR(__xludf.DUMMYFUNCTION("""COMPUTED_VALUE"""),"Fail")</f>
        <v>Fail</v>
      </c>
      <c r="P20" s="7" t="str">
        <f>IFERROR(__xludf.DUMMYFUNCTION("""COMPUTED_VALUE"""),"Jaikishan")</f>
        <v>Jaikishan</v>
      </c>
      <c r="Q20" s="8">
        <f>IFERROR(__xludf.DUMMYFUNCTION("""COMPUTED_VALUE"""),43792.0)</f>
        <v>43792</v>
      </c>
      <c r="R20" s="7" t="str">
        <f>IFERROR(__xludf.DUMMYFUNCTION("""COMPUTED_VALUE"""),"TR2019_W47")</f>
        <v>TR2019_W47</v>
      </c>
      <c r="S20" s="7" t="str">
        <f>IFERROR(__xludf.DUMMYFUNCTION("""COMPUTED_VALUE"""),"")</f>
        <v/>
      </c>
      <c r="T20" s="9" t="s">
        <v>10</v>
      </c>
      <c r="U20" s="7"/>
      <c r="V20" s="9" t="s">
        <v>21</v>
      </c>
      <c r="W20" s="7"/>
      <c r="X20" s="7"/>
      <c r="Y20" s="7"/>
      <c r="Z20" s="7"/>
    </row>
    <row r="21">
      <c r="A21" s="7" t="str">
        <f>IFERROR(__xludf.DUMMYFUNCTION("""COMPUTED_VALUE"""),"TCM_dKosh_General_SMF1_030_079")</f>
        <v>TCM_dKosh_General_SMF1_030_079</v>
      </c>
      <c r="B21" s="7" t="str">
        <f>IFERROR(__xludf.DUMMYFUNCTION("""COMPUTED_VALUE"""),"TP_dKosh_General_SMF1_030")</f>
        <v>TP_dKosh_General_SMF1_030</v>
      </c>
      <c r="C21" s="7">
        <f>IFERROR(__xludf.DUMMYFUNCTION("""COMPUTED_VALUE"""),79.0)</f>
        <v>79</v>
      </c>
      <c r="D21" s="7" t="str">
        <f>IFERROR(__xludf.DUMMYFUNCTION("""COMPUTED_VALUE"""),"")</f>
        <v/>
      </c>
      <c r="E21" s="7" t="str">
        <f>IFERROR(__xludf.DUMMYFUNCTION("""COMPUTED_VALUE"""),"Create Employee Group")</f>
        <v>Create Employee Group</v>
      </c>
      <c r="F21" s="7" t="str">
        <f>IFERROR(__xludf.DUMMYFUNCTION("""COMPUTED_VALUE"""),"M")</f>
        <v>M</v>
      </c>
      <c r="G21" s="7" t="str">
        <f>IFERROR(__xludf.DUMMYFUNCTION("""COMPUTED_VALUE"""),"Jaikishan")</f>
        <v>Jaikishan</v>
      </c>
      <c r="H21" s="7" t="str">
        <f>IFERROR(__xludf.DUMMYFUNCTION("""COMPUTED_VALUE"""),"Unit")</f>
        <v>Unit</v>
      </c>
      <c r="I21" s="7" t="str">
        <f>IFERROR(__xludf.DUMMYFUNCTION("""COMPUTED_VALUE"""),"1. Employee group already create with any Grade.
2. Employees mapped with that Grade.")</f>
        <v>1. Employee group already create with any Grade.
2. Employees mapped with that Grade.</v>
      </c>
      <c r="J21" s="7" t="str">
        <f>IFERROR(__xludf.DUMMYFUNCTION("""COMPUTED_VALUE"""),"Verify, ""Employees in group"" list when user Create new employee in selected Grade.")</f>
        <v>Verify, "Employees in group" list when user Create new employee in selected Grade.</v>
      </c>
      <c r="K21" s="7" t="str">
        <f>IFERROR(__xludf.DUMMYFUNCTION("""COMPUTED_VALUE"""),"1. Go to HCMS.
2. Go To ""Employees""
3. Go to ""Employee Group""
4. Click on Employee group name.
5. Create new Employee from HCMS.
6. Employee mapped with Grade
7. Check in Employee in group list.")</f>
        <v>1. Go to HCMS.
2. Go To "Employees"
3. Go to "Employee Group"
4. Click on Employee group name.
5. Create new Employee from HCMS.
6. Employee mapped with Grade
7. Check in Employee in group list.</v>
      </c>
      <c r="L21" s="7" t="str">
        <f>IFERROR(__xludf.DUMMYFUNCTION("""COMPUTED_VALUE"""),"New Created Employee should show in ""Employee in group"" list.")</f>
        <v>New Created Employee should show in "Employee in group" list.</v>
      </c>
      <c r="M21" s="7" t="str">
        <f>IFERROR(__xludf.DUMMYFUNCTION("""COMPUTED_VALUE"""),"")</f>
        <v/>
      </c>
      <c r="N21" s="7" t="str">
        <f>IFERROR(__xludf.DUMMYFUNCTION("""COMPUTED_VALUE"""),"Un-Approved Employee data showing in list.
")</f>
        <v>Un-Approved Employee data showing in list.
</v>
      </c>
      <c r="O21" s="7" t="str">
        <f>IFERROR(__xludf.DUMMYFUNCTION("""COMPUTED_VALUE"""),"Fail")</f>
        <v>Fail</v>
      </c>
      <c r="P21" s="7" t="str">
        <f>IFERROR(__xludf.DUMMYFUNCTION("""COMPUTED_VALUE"""),"Jaikishan")</f>
        <v>Jaikishan</v>
      </c>
      <c r="Q21" s="8">
        <f>IFERROR(__xludf.DUMMYFUNCTION("""COMPUTED_VALUE"""),43792.0)</f>
        <v>43792</v>
      </c>
      <c r="R21" s="7" t="str">
        <f>IFERROR(__xludf.DUMMYFUNCTION("""COMPUTED_VALUE"""),"TR2019_W47")</f>
        <v>TR2019_W47</v>
      </c>
      <c r="S21" s="7" t="str">
        <f>IFERROR(__xludf.DUMMYFUNCTION("""COMPUTED_VALUE"""),"")</f>
        <v/>
      </c>
      <c r="T21" s="9" t="s">
        <v>10</v>
      </c>
      <c r="U21" s="7"/>
      <c r="V21" s="9" t="s">
        <v>21</v>
      </c>
      <c r="W21" s="7"/>
      <c r="X21" s="7"/>
      <c r="Y21" s="7"/>
      <c r="Z21" s="7"/>
    </row>
    <row r="22">
      <c r="A22" s="7" t="str">
        <f>IFERROR(__xludf.DUMMYFUNCTION("""COMPUTED_VALUE"""),"TCM_dKosh_General_SMF1_033_082")</f>
        <v>TCM_dKosh_General_SMF1_033_082</v>
      </c>
      <c r="B22" s="7" t="str">
        <f>IFERROR(__xludf.DUMMYFUNCTION("""COMPUTED_VALUE"""),"TP_dKosh_General_SMF1_033")</f>
        <v>TP_dKosh_General_SMF1_033</v>
      </c>
      <c r="C22" s="7">
        <f>IFERROR(__xludf.DUMMYFUNCTION("""COMPUTED_VALUE"""),82.0)</f>
        <v>82</v>
      </c>
      <c r="D22" s="7" t="str">
        <f>IFERROR(__xludf.DUMMYFUNCTION("""COMPUTED_VALUE"""),"")</f>
        <v/>
      </c>
      <c r="E22" s="7" t="str">
        <f>IFERROR(__xludf.DUMMYFUNCTION("""COMPUTED_VALUE"""),"Create Employee Group")</f>
        <v>Create Employee Group</v>
      </c>
      <c r="F22" s="7" t="str">
        <f>IFERROR(__xludf.DUMMYFUNCTION("""COMPUTED_VALUE"""),"M")</f>
        <v>M</v>
      </c>
      <c r="G22" s="7" t="str">
        <f>IFERROR(__xludf.DUMMYFUNCTION("""COMPUTED_VALUE"""),"Jaikishan")</f>
        <v>Jaikishan</v>
      </c>
      <c r="H22" s="7" t="str">
        <f>IFERROR(__xludf.DUMMYFUNCTION("""COMPUTED_VALUE"""),"Unit")</f>
        <v>Unit</v>
      </c>
      <c r="I22" s="7" t="str">
        <f>IFERROR(__xludf.DUMMYFUNCTION("""COMPUTED_VALUE"""),"1. Employees mapped with any Grade.")</f>
        <v>1. Employees mapped with any Grade.</v>
      </c>
      <c r="J22" s="7" t="str">
        <f>IFERROR(__xludf.DUMMYFUNCTION("""COMPUTED_VALUE"""),"Verify, ""Employees in group"" when user select multiple Grade.")</f>
        <v>Verify, "Employees in group" when user select multiple Grade.</v>
      </c>
      <c r="K22" s="7" t="str">
        <f>IFERROR(__xludf.DUMMYFUNCTION("""COMPUTED_VALUE"""),"1. Go to HCMS.
2. Go To ""Employees""
3. Go to ""Employee Group""
4. Click on ""+"" button
5. Click on Grade field
6. Select multiple Grade.
7. Click on ""Save"" button.")</f>
        <v>1. Go to HCMS.
2. Go To "Employees"
3. Go to "Employee Group"
4. Click on "+" button
5. Click on Grade field
6. Select multiple Grade.
7. Click on "Save" button.</v>
      </c>
      <c r="L22" s="7" t="str">
        <f>IFERROR(__xludf.DUMMYFUNCTION("""COMPUTED_VALUE"""),"All employees of selected Grade should be showing in ""Employees in group"" list.
")</f>
        <v>All employees of selected Grade should be showing in "Employees in group" list.
</v>
      </c>
      <c r="M22" s="7" t="str">
        <f>IFERROR(__xludf.DUMMYFUNCTION("""COMPUTED_VALUE"""),"")</f>
        <v/>
      </c>
      <c r="N22" s="7" t="str">
        <f>IFERROR(__xludf.DUMMYFUNCTION("""COMPUTED_VALUE"""),"Current and Ex employee both showing in List.")</f>
        <v>Current and Ex employee both showing in List.</v>
      </c>
      <c r="O22" s="7" t="str">
        <f>IFERROR(__xludf.DUMMYFUNCTION("""COMPUTED_VALUE"""),"Fail")</f>
        <v>Fail</v>
      </c>
      <c r="P22" s="7" t="str">
        <f>IFERROR(__xludf.DUMMYFUNCTION("""COMPUTED_VALUE"""),"Jaikishan")</f>
        <v>Jaikishan</v>
      </c>
      <c r="Q22" s="8">
        <f>IFERROR(__xludf.DUMMYFUNCTION("""COMPUTED_VALUE"""),43792.0)</f>
        <v>43792</v>
      </c>
      <c r="R22" s="7" t="str">
        <f>IFERROR(__xludf.DUMMYFUNCTION("""COMPUTED_VALUE"""),"TR2019_W47")</f>
        <v>TR2019_W47</v>
      </c>
      <c r="S22" s="7" t="str">
        <f>IFERROR(__xludf.DUMMYFUNCTION("""COMPUTED_VALUE"""),"")</f>
        <v/>
      </c>
      <c r="T22" s="9" t="s">
        <v>10</v>
      </c>
      <c r="U22" s="7"/>
      <c r="V22" s="9" t="s">
        <v>21</v>
      </c>
      <c r="W22" s="7"/>
      <c r="X22" s="7"/>
      <c r="Y22" s="7"/>
      <c r="Z22" s="7"/>
    </row>
    <row r="23">
      <c r="A23" s="7" t="str">
        <f>IFERROR(__xludf.DUMMYFUNCTION("""COMPUTED_VALUE"""),"TCM_dKosh_General_SMF1_030_086")</f>
        <v>TCM_dKosh_General_SMF1_030_086</v>
      </c>
      <c r="B23" s="7" t="str">
        <f>IFERROR(__xludf.DUMMYFUNCTION("""COMPUTED_VALUE"""),"TP_dKosh_General_SMF1_030")</f>
        <v>TP_dKosh_General_SMF1_030</v>
      </c>
      <c r="C23" s="7">
        <f>IFERROR(__xludf.DUMMYFUNCTION("""COMPUTED_VALUE"""),86.0)</f>
        <v>86</v>
      </c>
      <c r="D23" s="7" t="str">
        <f>IFERROR(__xludf.DUMMYFUNCTION("""COMPUTED_VALUE"""),"")</f>
        <v/>
      </c>
      <c r="E23" s="7" t="str">
        <f>IFERROR(__xludf.DUMMYFUNCTION("""COMPUTED_VALUE"""),"Create Employee Group")</f>
        <v>Create Employee Group</v>
      </c>
      <c r="F23" s="7" t="str">
        <f>IFERROR(__xludf.DUMMYFUNCTION("""COMPUTED_VALUE"""),"M")</f>
        <v>M</v>
      </c>
      <c r="G23" s="7" t="str">
        <f>IFERROR(__xludf.DUMMYFUNCTION("""COMPUTED_VALUE"""),"Jaikishan")</f>
        <v>Jaikishan</v>
      </c>
      <c r="H23" s="7" t="str">
        <f>IFERROR(__xludf.DUMMYFUNCTION("""COMPUTED_VALUE"""),"Unit")</f>
        <v>Unit</v>
      </c>
      <c r="I23" s="7" t="str">
        <f>IFERROR(__xludf.DUMMYFUNCTION("""COMPUTED_VALUE"""),"1. Employee group already create with any Employee Type.
2. Employees mapped with that Employee Type.")</f>
        <v>1. Employee group already create with any Employee Type.
2. Employees mapped with that Employee Type.</v>
      </c>
      <c r="J23" s="7" t="str">
        <f>IFERROR(__xludf.DUMMYFUNCTION("""COMPUTED_VALUE"""),"Verify, ""Employees in group"" list when user Create new employee in selected Employee Type.")</f>
        <v>Verify, "Employees in group" list when user Create new employee in selected Employee Type.</v>
      </c>
      <c r="K23" s="7" t="str">
        <f>IFERROR(__xludf.DUMMYFUNCTION("""COMPUTED_VALUE"""),"1. Go to HCMS.
2. Go To ""Employees""
3. Go to ""Employee Group""
4. Click on Employee group name.
5. Create new Employee from HCMS.
6. Employee mapped with Employee Type
7. Check in Employee in group list.")</f>
        <v>1. Go to HCMS.
2. Go To "Employees"
3. Go to "Employee Group"
4. Click on Employee group name.
5. Create new Employee from HCMS.
6. Employee mapped with Employee Type
7. Check in Employee in group list.</v>
      </c>
      <c r="L23" s="7" t="str">
        <f>IFERROR(__xludf.DUMMYFUNCTION("""COMPUTED_VALUE"""),"New Created Employee should show in ""Employee in group"" list.")</f>
        <v>New Created Employee should show in "Employee in group" list.</v>
      </c>
      <c r="M23" s="7" t="str">
        <f>IFERROR(__xludf.DUMMYFUNCTION("""COMPUTED_VALUE"""),"")</f>
        <v/>
      </c>
      <c r="N23" s="7" t="str">
        <f>IFERROR(__xludf.DUMMYFUNCTION("""COMPUTED_VALUE"""),"Un-Approved Employee data showing in list.
")</f>
        <v>Un-Approved Employee data showing in list.
</v>
      </c>
      <c r="O23" s="7" t="str">
        <f>IFERROR(__xludf.DUMMYFUNCTION("""COMPUTED_VALUE"""),"Fail")</f>
        <v>Fail</v>
      </c>
      <c r="P23" s="7" t="str">
        <f>IFERROR(__xludf.DUMMYFUNCTION("""COMPUTED_VALUE"""),"Jaikishan")</f>
        <v>Jaikishan</v>
      </c>
      <c r="Q23" s="8">
        <f>IFERROR(__xludf.DUMMYFUNCTION("""COMPUTED_VALUE"""),43792.0)</f>
        <v>43792</v>
      </c>
      <c r="R23" s="7" t="str">
        <f>IFERROR(__xludf.DUMMYFUNCTION("""COMPUTED_VALUE"""),"TR2019_W47")</f>
        <v>TR2019_W47</v>
      </c>
      <c r="S23" s="7" t="str">
        <f>IFERROR(__xludf.DUMMYFUNCTION("""COMPUTED_VALUE"""),"")</f>
        <v/>
      </c>
      <c r="T23" s="9" t="s">
        <v>10</v>
      </c>
      <c r="U23" s="7"/>
      <c r="V23" s="9" t="s">
        <v>21</v>
      </c>
      <c r="W23" s="7"/>
      <c r="X23" s="7"/>
      <c r="Y23" s="7"/>
      <c r="Z23" s="7"/>
    </row>
    <row r="24">
      <c r="A24" s="7" t="str">
        <f>IFERROR(__xludf.DUMMYFUNCTION("""COMPUTED_VALUE"""),"TCM_dKosh_General_SMF1_033_089")</f>
        <v>TCM_dKosh_General_SMF1_033_089</v>
      </c>
      <c r="B24" s="7" t="str">
        <f>IFERROR(__xludf.DUMMYFUNCTION("""COMPUTED_VALUE"""),"TP_dKosh_General_SMF1_033")</f>
        <v>TP_dKosh_General_SMF1_033</v>
      </c>
      <c r="C24" s="7">
        <f>IFERROR(__xludf.DUMMYFUNCTION("""COMPUTED_VALUE"""),89.0)</f>
        <v>89</v>
      </c>
      <c r="D24" s="7" t="str">
        <f>IFERROR(__xludf.DUMMYFUNCTION("""COMPUTED_VALUE"""),"")</f>
        <v/>
      </c>
      <c r="E24" s="7" t="str">
        <f>IFERROR(__xludf.DUMMYFUNCTION("""COMPUTED_VALUE"""),"Create Employee Group")</f>
        <v>Create Employee Group</v>
      </c>
      <c r="F24" s="7" t="str">
        <f>IFERROR(__xludf.DUMMYFUNCTION("""COMPUTED_VALUE"""),"M")</f>
        <v>M</v>
      </c>
      <c r="G24" s="7" t="str">
        <f>IFERROR(__xludf.DUMMYFUNCTION("""COMPUTED_VALUE"""),"Jaikishan")</f>
        <v>Jaikishan</v>
      </c>
      <c r="H24" s="7" t="str">
        <f>IFERROR(__xludf.DUMMYFUNCTION("""COMPUTED_VALUE"""),"Unit")</f>
        <v>Unit</v>
      </c>
      <c r="I24" s="7" t="str">
        <f>IFERROR(__xludf.DUMMYFUNCTION("""COMPUTED_VALUE"""),"1. Employees mapped with any Employee Type.")</f>
        <v>1. Employees mapped with any Employee Type.</v>
      </c>
      <c r="J24" s="7" t="str">
        <f>IFERROR(__xludf.DUMMYFUNCTION("""COMPUTED_VALUE"""),"Verify, ""Employees in group"" list when user select multiple Employee Type.")</f>
        <v>Verify, "Employees in group" list when user select multiple Employee Type.</v>
      </c>
      <c r="K24" s="7" t="str">
        <f>IFERROR(__xludf.DUMMYFUNCTION("""COMPUTED_VALUE"""),"1. Go to HCMS.
2. Go To ""Employees""
3. Go to ""Employee Group""
4. Click on ""+"" button
5. Click on Employee Type field
6. Select multiple Employee Type.
7. Click on ""Save"" button.")</f>
        <v>1. Go to HCMS.
2. Go To "Employees"
3. Go to "Employee Group"
4. Click on "+" button
5. Click on Employee Type field
6. Select multiple Employee Type.
7. Click on "Save" button.</v>
      </c>
      <c r="L24" s="7" t="str">
        <f>IFERROR(__xludf.DUMMYFUNCTION("""COMPUTED_VALUE"""),"All employees of selected Employee Type should be showing in ""Employees in group"" list.
")</f>
        <v>All employees of selected Employee Type should be showing in "Employees in group" list.
</v>
      </c>
      <c r="M24" s="7" t="str">
        <f>IFERROR(__xludf.DUMMYFUNCTION("""COMPUTED_VALUE"""),"")</f>
        <v/>
      </c>
      <c r="N24" s="7" t="str">
        <f>IFERROR(__xludf.DUMMYFUNCTION("""COMPUTED_VALUE"""),"Current and Ex employee both showing in List.")</f>
        <v>Current and Ex employee both showing in List.</v>
      </c>
      <c r="O24" s="7" t="str">
        <f>IFERROR(__xludf.DUMMYFUNCTION("""COMPUTED_VALUE"""),"Fail")</f>
        <v>Fail</v>
      </c>
      <c r="P24" s="7" t="str">
        <f>IFERROR(__xludf.DUMMYFUNCTION("""COMPUTED_VALUE"""),"Jaikishan")</f>
        <v>Jaikishan</v>
      </c>
      <c r="Q24" s="8">
        <f>IFERROR(__xludf.DUMMYFUNCTION("""COMPUTED_VALUE"""),43792.0)</f>
        <v>43792</v>
      </c>
      <c r="R24" s="7" t="str">
        <f>IFERROR(__xludf.DUMMYFUNCTION("""COMPUTED_VALUE"""),"TR2019_W47")</f>
        <v>TR2019_W47</v>
      </c>
      <c r="S24" s="7" t="str">
        <f>IFERROR(__xludf.DUMMYFUNCTION("""COMPUTED_VALUE"""),"")</f>
        <v/>
      </c>
      <c r="T24" s="9" t="s">
        <v>10</v>
      </c>
      <c r="U24" s="7"/>
      <c r="V24" s="9" t="s">
        <v>21</v>
      </c>
      <c r="W24" s="7"/>
      <c r="X24" s="7"/>
      <c r="Y24" s="7"/>
      <c r="Z24" s="7"/>
    </row>
    <row r="25">
      <c r="A25" s="7" t="str">
        <f>IFERROR(__xludf.DUMMYFUNCTION("""COMPUTED_VALUE"""),"TCM_dKosh_General_SMF1_033_090")</f>
        <v>TCM_dKosh_General_SMF1_033_090</v>
      </c>
      <c r="B25" s="7" t="str">
        <f>IFERROR(__xludf.DUMMYFUNCTION("""COMPUTED_VALUE"""),"TP_dKosh_General_SMF1_033")</f>
        <v>TP_dKosh_General_SMF1_033</v>
      </c>
      <c r="C25" s="7">
        <f>IFERROR(__xludf.DUMMYFUNCTION("""COMPUTED_VALUE"""),90.0)</f>
        <v>90</v>
      </c>
      <c r="D25" s="7" t="str">
        <f>IFERROR(__xludf.DUMMYFUNCTION("""COMPUTED_VALUE"""),"")</f>
        <v/>
      </c>
      <c r="E25" s="7" t="str">
        <f>IFERROR(__xludf.DUMMYFUNCTION("""COMPUTED_VALUE"""),"Create Employee Group")</f>
        <v>Create Employee Group</v>
      </c>
      <c r="F25" s="7" t="str">
        <f>IFERROR(__xludf.DUMMYFUNCTION("""COMPUTED_VALUE"""),"M")</f>
        <v>M</v>
      </c>
      <c r="G25" s="7" t="str">
        <f>IFERROR(__xludf.DUMMYFUNCTION("""COMPUTED_VALUE"""),"Jaikishan")</f>
        <v>Jaikishan</v>
      </c>
      <c r="H25" s="7" t="str">
        <f>IFERROR(__xludf.DUMMYFUNCTION("""COMPUTED_VALUE"""),"Unit")</f>
        <v>Unit</v>
      </c>
      <c r="I25" s="7" t="str">
        <f>IFERROR(__xludf.DUMMYFUNCTION("""COMPUTED_VALUE"""),"1. Employee already created with Gender.")</f>
        <v>1. Employee already created with Gender.</v>
      </c>
      <c r="J25" s="7" t="str">
        <f>IFERROR(__xludf.DUMMYFUNCTION("""COMPUTED_VALUE"""),"Verify, ""Employees in group list"" when select Gender as ""Male/Female/others"" and Save")</f>
        <v>Verify, "Employees in group list" when select Gender as "Male/Female/others" and Save</v>
      </c>
      <c r="K25" s="7" t="str">
        <f>IFERROR(__xludf.DUMMYFUNCTION("""COMPUTED_VALUE"""),"1. Go to HCMS.
2. Go To ""Employees""
3. Go to ""Employee Group""
4. Click on ""+"" button
5. Click on Gender dropdown
6. Select ""Male/Female/Others""
7. Click on ""Save"" button.")</f>
        <v>1. Go to HCMS.
2. Go To "Employees"
3. Go to "Employee Group"
4. Click on "+" button
5. Click on Gender dropdown
6. Select "Male/Female/Others"
7. Click on "Save" button.</v>
      </c>
      <c r="L25" s="7" t="str">
        <f>IFERROR(__xludf.DUMMYFUNCTION("""COMPUTED_VALUE"""),"1. All Male/Female/Others employees should be show in ""Employees in group"" list.
2. Gender should be selected after save.")</f>
        <v>1. All Male/Female/Others employees should be show in "Employees in group" list.
2. Gender should be selected after save.</v>
      </c>
      <c r="M25" s="7" t="str">
        <f>IFERROR(__xludf.DUMMYFUNCTION("""COMPUTED_VALUE"""),"")</f>
        <v/>
      </c>
      <c r="N25" s="7" t="str">
        <f>IFERROR(__xludf.DUMMYFUNCTION("""COMPUTED_VALUE"""),"Gender functionality is not working")</f>
        <v>Gender functionality is not working</v>
      </c>
      <c r="O25" s="7" t="str">
        <f>IFERROR(__xludf.DUMMYFUNCTION("""COMPUTED_VALUE"""),"Fail")</f>
        <v>Fail</v>
      </c>
      <c r="P25" s="7" t="str">
        <f>IFERROR(__xludf.DUMMYFUNCTION("""COMPUTED_VALUE"""),"Jaikishan")</f>
        <v>Jaikishan</v>
      </c>
      <c r="Q25" s="8">
        <f>IFERROR(__xludf.DUMMYFUNCTION("""COMPUTED_VALUE"""),43792.0)</f>
        <v>43792</v>
      </c>
      <c r="R25" s="7" t="str">
        <f>IFERROR(__xludf.DUMMYFUNCTION("""COMPUTED_VALUE"""),"TR2019_W47")</f>
        <v>TR2019_W47</v>
      </c>
      <c r="S25" s="7" t="str">
        <f>IFERROR(__xludf.DUMMYFUNCTION("""COMPUTED_VALUE"""),"High-priority")</f>
        <v>High-priority</v>
      </c>
      <c r="T25" s="9" t="s">
        <v>10</v>
      </c>
      <c r="U25" s="7"/>
      <c r="V25" s="9" t="s">
        <v>15</v>
      </c>
      <c r="W25" s="9" t="s">
        <v>54</v>
      </c>
      <c r="X25" s="9" t="s">
        <v>10</v>
      </c>
      <c r="Y25" s="7"/>
      <c r="Z25" s="7"/>
    </row>
    <row r="26">
      <c r="A26" s="7" t="str">
        <f>IFERROR(__xludf.DUMMYFUNCTION("""COMPUTED_VALUE"""),"TCM_dKosh_General_SMF1_036_093")</f>
        <v>TCM_dKosh_General_SMF1_036_093</v>
      </c>
      <c r="B26" s="7" t="str">
        <f>IFERROR(__xludf.DUMMYFUNCTION("""COMPUTED_VALUE"""),"TP_dKosh_General_SMF1_036")</f>
        <v>TP_dKosh_General_SMF1_036</v>
      </c>
      <c r="C26" s="7">
        <f>IFERROR(__xludf.DUMMYFUNCTION("""COMPUTED_VALUE"""),93.0)</f>
        <v>93</v>
      </c>
      <c r="D26" s="7" t="str">
        <f>IFERROR(__xludf.DUMMYFUNCTION("""COMPUTED_VALUE"""),"")</f>
        <v/>
      </c>
      <c r="E26" s="7" t="str">
        <f>IFERROR(__xludf.DUMMYFUNCTION("""COMPUTED_VALUE"""),"Create Employee Group")</f>
        <v>Create Employee Group</v>
      </c>
      <c r="F26" s="7" t="str">
        <f>IFERROR(__xludf.DUMMYFUNCTION("""COMPUTED_VALUE"""),"M")</f>
        <v>M</v>
      </c>
      <c r="G26" s="7" t="str">
        <f>IFERROR(__xludf.DUMMYFUNCTION("""COMPUTED_VALUE"""),"Jaikishan")</f>
        <v>Jaikishan</v>
      </c>
      <c r="H26" s="7" t="str">
        <f>IFERROR(__xludf.DUMMYFUNCTION("""COMPUTED_VALUE"""),"Unit")</f>
        <v>Unit</v>
      </c>
      <c r="I26" s="7" t="str">
        <f>IFERROR(__xludf.DUMMYFUNCTION("""COMPUTED_VALUE"""),"1. Employee group already create with any Gender.
2. Employees mapped with that Gender.")</f>
        <v>1. Employee group already create with any Gender.
2. Employees mapped with that Gender.</v>
      </c>
      <c r="J26" s="7" t="str">
        <f>IFERROR(__xludf.DUMMYFUNCTION("""COMPUTED_VALUE"""),"Verify, ""Employees in group"" list when user Modify employee Gender in thier profile..")</f>
        <v>Verify, "Employees in group" list when user Modify employee Gender in thier profile..</v>
      </c>
      <c r="K26" s="7" t="str">
        <f>IFERROR(__xludf.DUMMYFUNCTION("""COMPUTED_VALUE"""),"1. Go to HCMS.
2. Go To ""Employees""
3. Go to ""Employee Group""
4. Click on Employee group name.
5. Modify Gender of Employee from HCMS.
6. Check in Employee in group list.")</f>
        <v>1. Go to HCMS.
2. Go To "Employees"
3. Go to "Employee Group"
4. Click on Employee group name.
5. Modify Gender of Employee from HCMS.
6. Check in Employee in group list.</v>
      </c>
      <c r="L26" s="7" t="str">
        <f>IFERROR(__xludf.DUMMYFUNCTION("""COMPUTED_VALUE"""),"Modified employee should not be show in Employees in group list.
")</f>
        <v>Modified employee should not be show in Employees in group list.
</v>
      </c>
      <c r="M26" s="7" t="str">
        <f>IFERROR(__xludf.DUMMYFUNCTION("""COMPUTED_VALUE"""),"")</f>
        <v/>
      </c>
      <c r="N26" s="7" t="str">
        <f>IFERROR(__xludf.DUMMYFUNCTION("""COMPUTED_VALUE"""),"Gender functionality is not working")</f>
        <v>Gender functionality is not working</v>
      </c>
      <c r="O26" s="7" t="str">
        <f>IFERROR(__xludf.DUMMYFUNCTION("""COMPUTED_VALUE"""),"Fail")</f>
        <v>Fail</v>
      </c>
      <c r="P26" s="7" t="str">
        <f>IFERROR(__xludf.DUMMYFUNCTION("""COMPUTED_VALUE"""),"Jaikishan")</f>
        <v>Jaikishan</v>
      </c>
      <c r="Q26" s="8">
        <f>IFERROR(__xludf.DUMMYFUNCTION("""COMPUTED_VALUE"""),43792.0)</f>
        <v>43792</v>
      </c>
      <c r="R26" s="7" t="str">
        <f>IFERROR(__xludf.DUMMYFUNCTION("""COMPUTED_VALUE"""),"TR2019_W47")</f>
        <v>TR2019_W47</v>
      </c>
      <c r="S26" s="7" t="str">
        <f>IFERROR(__xludf.DUMMYFUNCTION("""COMPUTED_VALUE"""),"")</f>
        <v/>
      </c>
      <c r="T26" s="9" t="s">
        <v>10</v>
      </c>
      <c r="U26" s="7"/>
      <c r="V26" s="9" t="s">
        <v>15</v>
      </c>
      <c r="W26" s="9" t="s">
        <v>54</v>
      </c>
      <c r="X26" s="9" t="s">
        <v>10</v>
      </c>
      <c r="Y26" s="7"/>
      <c r="Z26" s="7"/>
    </row>
    <row r="27">
      <c r="A27" s="7" t="str">
        <f>IFERROR(__xludf.DUMMYFUNCTION("""COMPUTED_VALUE"""),"TCM_dKosh_General_SMF1_037_094")</f>
        <v>TCM_dKosh_General_SMF1_037_094</v>
      </c>
      <c r="B27" s="7" t="str">
        <f>IFERROR(__xludf.DUMMYFUNCTION("""COMPUTED_VALUE"""),"TP_dKosh_General_SMF1_037")</f>
        <v>TP_dKosh_General_SMF1_037</v>
      </c>
      <c r="C27" s="7">
        <f>IFERROR(__xludf.DUMMYFUNCTION("""COMPUTED_VALUE"""),94.0)</f>
        <v>94</v>
      </c>
      <c r="D27" s="7" t="str">
        <f>IFERROR(__xludf.DUMMYFUNCTION("""COMPUTED_VALUE"""),"")</f>
        <v/>
      </c>
      <c r="E27" s="7" t="str">
        <f>IFERROR(__xludf.DUMMYFUNCTION("""COMPUTED_VALUE"""),"Create Employee Group")</f>
        <v>Create Employee Group</v>
      </c>
      <c r="F27" s="7" t="str">
        <f>IFERROR(__xludf.DUMMYFUNCTION("""COMPUTED_VALUE"""),"M")</f>
        <v>M</v>
      </c>
      <c r="G27" s="7" t="str">
        <f>IFERROR(__xludf.DUMMYFUNCTION("""COMPUTED_VALUE"""),"Jaikishan")</f>
        <v>Jaikishan</v>
      </c>
      <c r="H27" s="7" t="str">
        <f>IFERROR(__xludf.DUMMYFUNCTION("""COMPUTED_VALUE"""),"Unit")</f>
        <v>Unit</v>
      </c>
      <c r="I27" s="7" t="str">
        <f>IFERROR(__xludf.DUMMYFUNCTION("""COMPUTED_VALUE"""),"1. Employee already created with EPF registered")</f>
        <v>1. Employee already created with EPF registered</v>
      </c>
      <c r="J27" s="7" t="str">
        <f>IFERROR(__xludf.DUMMYFUNCTION("""COMPUTED_VALUE"""),"Verify, ""Employees in group list"" when select Is EPF registered ? as ""Yes"" and Save")</f>
        <v>Verify, "Employees in group list" when select Is EPF registered ? as "Yes" and Save</v>
      </c>
      <c r="K27" s="7" t="str">
        <f>IFERROR(__xludf.DUMMYFUNCTION("""COMPUTED_VALUE"""),"1. Go to HCMS.
2. Go To ""Employees""
3. Go to ""Employee Group""
4. Click on ""+"" button
5. Click on Is EPF registered ? dropdown
6. Select ""Yes""
7. Click on ""Save"" button.")</f>
        <v>1. Go to HCMS.
2. Go To "Employees"
3. Go to "Employee Group"
4. Click on "+" button
5. Click on Is EPF registered ? dropdown
6. Select "Yes"
7. Click on "Save" button.</v>
      </c>
      <c r="L27" s="7" t="str">
        <f>IFERROR(__xludf.DUMMYFUNCTION("""COMPUTED_VALUE"""),"EPF registered employee should be show in ""Employees in group"" list.")</f>
        <v>EPF registered employee should be show in "Employees in group" list.</v>
      </c>
      <c r="M27" s="7" t="str">
        <f>IFERROR(__xludf.DUMMYFUNCTION("""COMPUTED_VALUE"""),"")</f>
        <v/>
      </c>
      <c r="N27" s="7" t="str">
        <f>IFERROR(__xludf.DUMMYFUNCTION("""COMPUTED_VALUE"""),"EPF Registered Functionality is not working.")</f>
        <v>EPF Registered Functionality is not working.</v>
      </c>
      <c r="O27" s="7" t="str">
        <f>IFERROR(__xludf.DUMMYFUNCTION("""COMPUTED_VALUE"""),"Fail")</f>
        <v>Fail</v>
      </c>
      <c r="P27" s="7" t="str">
        <f>IFERROR(__xludf.DUMMYFUNCTION("""COMPUTED_VALUE"""),"Jaikishan")</f>
        <v>Jaikishan</v>
      </c>
      <c r="Q27" s="8">
        <f>IFERROR(__xludf.DUMMYFUNCTION("""COMPUTED_VALUE"""),43792.0)</f>
        <v>43792</v>
      </c>
      <c r="R27" s="7" t="str">
        <f>IFERROR(__xludf.DUMMYFUNCTION("""COMPUTED_VALUE"""),"TR2019_W47")</f>
        <v>TR2019_W47</v>
      </c>
      <c r="S27" s="7" t="str">
        <f>IFERROR(__xludf.DUMMYFUNCTION("""COMPUTED_VALUE"""),"High - Priority")</f>
        <v>High - Priority</v>
      </c>
      <c r="T27" s="9" t="s">
        <v>10</v>
      </c>
      <c r="U27" s="7"/>
      <c r="V27" s="9" t="s">
        <v>15</v>
      </c>
      <c r="W27" s="9" t="s">
        <v>55</v>
      </c>
      <c r="X27" s="9" t="s">
        <v>10</v>
      </c>
      <c r="Y27" s="7"/>
      <c r="Z27" s="7"/>
    </row>
    <row r="28">
      <c r="A28" s="7" t="str">
        <f>IFERROR(__xludf.DUMMYFUNCTION("""COMPUTED_VALUE"""),"TCM_dKosh_General_SMF1_038_095")</f>
        <v>TCM_dKosh_General_SMF1_038_095</v>
      </c>
      <c r="B28" s="7" t="str">
        <f>IFERROR(__xludf.DUMMYFUNCTION("""COMPUTED_VALUE"""),"TP_dKosh_General_SMF1_038")</f>
        <v>TP_dKosh_General_SMF1_038</v>
      </c>
      <c r="C28" s="7">
        <f>IFERROR(__xludf.DUMMYFUNCTION("""COMPUTED_VALUE"""),95.0)</f>
        <v>95</v>
      </c>
      <c r="D28" s="7" t="str">
        <f>IFERROR(__xludf.DUMMYFUNCTION("""COMPUTED_VALUE"""),"")</f>
        <v/>
      </c>
      <c r="E28" s="7" t="str">
        <f>IFERROR(__xludf.DUMMYFUNCTION("""COMPUTED_VALUE"""),"Create Employee Group")</f>
        <v>Create Employee Group</v>
      </c>
      <c r="F28" s="7" t="str">
        <f>IFERROR(__xludf.DUMMYFUNCTION("""COMPUTED_VALUE"""),"M")</f>
        <v>M</v>
      </c>
      <c r="G28" s="7" t="str">
        <f>IFERROR(__xludf.DUMMYFUNCTION("""COMPUTED_VALUE"""),"Jaikishan")</f>
        <v>Jaikishan</v>
      </c>
      <c r="H28" s="7" t="str">
        <f>IFERROR(__xludf.DUMMYFUNCTION("""COMPUTED_VALUE"""),"Unit")</f>
        <v>Unit</v>
      </c>
      <c r="I28" s="7" t="str">
        <f>IFERROR(__xludf.DUMMYFUNCTION("""COMPUTED_VALUE"""),"")</f>
        <v/>
      </c>
      <c r="J28" s="7" t="str">
        <f>IFERROR(__xludf.DUMMYFUNCTION("""COMPUTED_VALUE"""),"Verify, ""Employees in group list"" when modify group and change Is EPF registered ? as ""Yes"" to ""No"".")</f>
        <v>Verify, "Employees in group list" when modify group and change Is EPF registered ? as "Yes" to "No".</v>
      </c>
      <c r="K28" s="7" t="str">
        <f>IFERROR(__xludf.DUMMYFUNCTION("""COMPUTED_VALUE"""),"1. Go to HCMS.
2. Go To ""Employees""
3. Go to ""Employee Group""
4. Click on modify group button
5. Click on Is EPF registered ? dropdown
6. Change ""Yes"" to ""No""
7. Click on ""Save"" button.")</f>
        <v>1. Go to HCMS.
2. Go To "Employees"
3. Go to "Employee Group"
4. Click on modify group button
5. Click on Is EPF registered ? dropdown
6. Change "Yes" to "No"
7. Click on "Save" button.</v>
      </c>
      <c r="L28" s="7" t="str">
        <f>IFERROR(__xludf.DUMMYFUNCTION("""COMPUTED_VALUE"""),"1. Employees in Group list changes.
2. All EPF unregistered employees should be show in list(if it is present in Employee list)")</f>
        <v>1. Employees in Group list changes.
2. All EPF unregistered employees should be show in list(if it is present in Employee list)</v>
      </c>
      <c r="M28" s="7" t="str">
        <f>IFERROR(__xludf.DUMMYFUNCTION("""COMPUTED_VALUE"""),"")</f>
        <v/>
      </c>
      <c r="N28" s="7" t="str">
        <f>IFERROR(__xludf.DUMMYFUNCTION("""COMPUTED_VALUE"""),"EPF Registered Functionality is not working.")</f>
        <v>EPF Registered Functionality is not working.</v>
      </c>
      <c r="O28" s="7" t="str">
        <f>IFERROR(__xludf.DUMMYFUNCTION("""COMPUTED_VALUE"""),"Fail")</f>
        <v>Fail</v>
      </c>
      <c r="P28" s="7" t="str">
        <f>IFERROR(__xludf.DUMMYFUNCTION("""COMPUTED_VALUE"""),"Jaikishan")</f>
        <v>Jaikishan</v>
      </c>
      <c r="Q28" s="8">
        <f>IFERROR(__xludf.DUMMYFUNCTION("""COMPUTED_VALUE"""),43792.0)</f>
        <v>43792</v>
      </c>
      <c r="R28" s="7" t="str">
        <f>IFERROR(__xludf.DUMMYFUNCTION("""COMPUTED_VALUE"""),"TR2019_W47")</f>
        <v>TR2019_W47</v>
      </c>
      <c r="S28" s="7" t="str">
        <f>IFERROR(__xludf.DUMMYFUNCTION("""COMPUTED_VALUE"""),"")</f>
        <v/>
      </c>
      <c r="T28" s="9" t="s">
        <v>10</v>
      </c>
      <c r="U28" s="7"/>
      <c r="V28" s="9" t="s">
        <v>56</v>
      </c>
      <c r="W28" s="9" t="s">
        <v>57</v>
      </c>
      <c r="X28" s="9" t="s">
        <v>10</v>
      </c>
      <c r="Y28" s="7"/>
      <c r="Z28" s="7"/>
    </row>
    <row r="29">
      <c r="A29" s="7" t="str">
        <f>IFERROR(__xludf.DUMMYFUNCTION("""COMPUTED_VALUE"""),"TCM_dKosh_General_SMF1_039_096")</f>
        <v>TCM_dKosh_General_SMF1_039_096</v>
      </c>
      <c r="B29" s="7" t="str">
        <f>IFERROR(__xludf.DUMMYFUNCTION("""COMPUTED_VALUE"""),"TP_dKosh_General_SMF1_039")</f>
        <v>TP_dKosh_General_SMF1_039</v>
      </c>
      <c r="C29" s="7">
        <f>IFERROR(__xludf.DUMMYFUNCTION("""COMPUTED_VALUE"""),96.0)</f>
        <v>96</v>
      </c>
      <c r="D29" s="7" t="str">
        <f>IFERROR(__xludf.DUMMYFUNCTION("""COMPUTED_VALUE"""),"")</f>
        <v/>
      </c>
      <c r="E29" s="7" t="str">
        <f>IFERROR(__xludf.DUMMYFUNCTION("""COMPUTED_VALUE"""),"Create Employee Group")</f>
        <v>Create Employee Group</v>
      </c>
      <c r="F29" s="7" t="str">
        <f>IFERROR(__xludf.DUMMYFUNCTION("""COMPUTED_VALUE"""),"M")</f>
        <v>M</v>
      </c>
      <c r="G29" s="7" t="str">
        <f>IFERROR(__xludf.DUMMYFUNCTION("""COMPUTED_VALUE"""),"Jaikishan")</f>
        <v>Jaikishan</v>
      </c>
      <c r="H29" s="7" t="str">
        <f>IFERROR(__xludf.DUMMYFUNCTION("""COMPUTED_VALUE"""),"Unit")</f>
        <v>Unit</v>
      </c>
      <c r="I29" s="7" t="str">
        <f>IFERROR(__xludf.DUMMYFUNCTION("""COMPUTED_VALUE"""),"1. Employee group already create with Is EPF registered ?. as ""Yes""
2. Employees mapped with that EPF registered.")</f>
        <v>1. Employee group already create with Is EPF registered ?. as "Yes"
2. Employees mapped with that EPF registered.</v>
      </c>
      <c r="J29" s="7" t="str">
        <f>IFERROR(__xludf.DUMMYFUNCTION("""COMPUTED_VALUE"""),"Verify, ""Employees in group"" list when user Modify employee Is EPF registered ? in thier profile.")</f>
        <v>Verify, "Employees in group" list when user Modify employee Is EPF registered ? in thier profile.</v>
      </c>
      <c r="K29" s="7" t="str">
        <f>IFERROR(__xludf.DUMMYFUNCTION("""COMPUTED_VALUE"""),"1. Go to HCMS.
2. Go To ""Employees""
3. Go to ""Employee Group""
4. Click on Employee group name.
5. Modify Is EPF registered ? of Employee from HCMS.
6. Check in Employee in group list.")</f>
        <v>1. Go to HCMS.
2. Go To "Employees"
3. Go to "Employee Group"
4. Click on Employee group name.
5. Modify Is EPF registered ? of Employee from HCMS.
6. Check in Employee in group list.</v>
      </c>
      <c r="L29" s="7" t="str">
        <f>IFERROR(__xludf.DUMMYFUNCTION("""COMPUTED_VALUE"""),"Modified employee should not be show in Employees in group list.
")</f>
        <v>Modified employee should not be show in Employees in group list.
</v>
      </c>
      <c r="M29" s="7" t="str">
        <f>IFERROR(__xludf.DUMMYFUNCTION("""COMPUTED_VALUE"""),"")</f>
        <v/>
      </c>
      <c r="N29" s="7" t="str">
        <f>IFERROR(__xludf.DUMMYFUNCTION("""COMPUTED_VALUE"""),"EPF Registered Functionality is not working.")</f>
        <v>EPF Registered Functionality is not working.</v>
      </c>
      <c r="O29" s="7" t="str">
        <f>IFERROR(__xludf.DUMMYFUNCTION("""COMPUTED_VALUE"""),"Fail")</f>
        <v>Fail</v>
      </c>
      <c r="P29" s="7" t="str">
        <f>IFERROR(__xludf.DUMMYFUNCTION("""COMPUTED_VALUE"""),"Jaikishan")</f>
        <v>Jaikishan</v>
      </c>
      <c r="Q29" s="8">
        <f>IFERROR(__xludf.DUMMYFUNCTION("""COMPUTED_VALUE"""),43792.0)</f>
        <v>43792</v>
      </c>
      <c r="R29" s="7" t="str">
        <f>IFERROR(__xludf.DUMMYFUNCTION("""COMPUTED_VALUE"""),"TR2019_W47")</f>
        <v>TR2019_W47</v>
      </c>
      <c r="S29" s="7" t="str">
        <f>IFERROR(__xludf.DUMMYFUNCTION("""COMPUTED_VALUE"""),"")</f>
        <v/>
      </c>
      <c r="T29" s="9" t="s">
        <v>10</v>
      </c>
      <c r="U29" s="7"/>
      <c r="V29" s="9" t="s">
        <v>56</v>
      </c>
      <c r="W29" s="9" t="s">
        <v>57</v>
      </c>
      <c r="X29" s="9" t="s">
        <v>10</v>
      </c>
      <c r="Y29" s="7"/>
      <c r="Z29" s="7"/>
    </row>
    <row r="30">
      <c r="A30" s="7" t="str">
        <f>IFERROR(__xludf.DUMMYFUNCTION("""COMPUTED_VALUE"""),"TCM_dKosh_General_SMF1_040_097")</f>
        <v>TCM_dKosh_General_SMF1_040_097</v>
      </c>
      <c r="B30" s="7" t="str">
        <f>IFERROR(__xludf.DUMMYFUNCTION("""COMPUTED_VALUE"""),"TP_dKosh_General_SMF1_040")</f>
        <v>TP_dKosh_General_SMF1_040</v>
      </c>
      <c r="C30" s="7">
        <f>IFERROR(__xludf.DUMMYFUNCTION("""COMPUTED_VALUE"""),97.0)</f>
        <v>97</v>
      </c>
      <c r="D30" s="7" t="str">
        <f>IFERROR(__xludf.DUMMYFUNCTION("""COMPUTED_VALUE"""),"")</f>
        <v/>
      </c>
      <c r="E30" s="7" t="str">
        <f>IFERROR(__xludf.DUMMYFUNCTION("""COMPUTED_VALUE"""),"Create Employee Group")</f>
        <v>Create Employee Group</v>
      </c>
      <c r="F30" s="7" t="str">
        <f>IFERROR(__xludf.DUMMYFUNCTION("""COMPUTED_VALUE"""),"M")</f>
        <v>M</v>
      </c>
      <c r="G30" s="7" t="str">
        <f>IFERROR(__xludf.DUMMYFUNCTION("""COMPUTED_VALUE"""),"Jaikishan")</f>
        <v>Jaikishan</v>
      </c>
      <c r="H30" s="7" t="str">
        <f>IFERROR(__xludf.DUMMYFUNCTION("""COMPUTED_VALUE"""),"Unit")</f>
        <v>Unit</v>
      </c>
      <c r="I30" s="7" t="str">
        <f>IFERROR(__xludf.DUMMYFUNCTION("""COMPUTED_VALUE"""),"1. Employee already created with EPF registered")</f>
        <v>1. Employee already created with EPF registered</v>
      </c>
      <c r="J30" s="7" t="str">
        <f>IFERROR(__xludf.DUMMYFUNCTION("""COMPUTED_VALUE"""),"Verify, ""Employees in group list"" when select Is ESIC registered ? as ""Yes"" and Save")</f>
        <v>Verify, "Employees in group list" when select Is ESIC registered ? as "Yes" and Save</v>
      </c>
      <c r="K30" s="7" t="str">
        <f>IFERROR(__xludf.DUMMYFUNCTION("""COMPUTED_VALUE"""),"1. Go to HCMS.
2. Go To ""Employees""
3. Go to ""Employee Group""
4. Click on ""+"" button
5. Click on Is ESIC registered ? dropdown
6. Select ""Yes""
7. Click on ""Save"" button.")</f>
        <v>1. Go to HCMS.
2. Go To "Employees"
3. Go to "Employee Group"
4. Click on "+" button
5. Click on Is ESIC registered ? dropdown
6. Select "Yes"
7. Click on "Save" button.</v>
      </c>
      <c r="L30" s="7" t="str">
        <f>IFERROR(__xludf.DUMMYFUNCTION("""COMPUTED_VALUE"""),"ESIC registered employee should be show in ""Employees in group"" list.")</f>
        <v>ESIC registered employee should be show in "Employees in group" list.</v>
      </c>
      <c r="M30" s="7" t="str">
        <f>IFERROR(__xludf.DUMMYFUNCTION("""COMPUTED_VALUE"""),"")</f>
        <v/>
      </c>
      <c r="N30" s="7" t="str">
        <f>IFERROR(__xludf.DUMMYFUNCTION("""COMPUTED_VALUE"""),"ESIC functionality not working when enter esi number of employee and approve.")</f>
        <v>ESIC functionality not working when enter esi number of employee and approve.</v>
      </c>
      <c r="O30" s="7" t="str">
        <f>IFERROR(__xludf.DUMMYFUNCTION("""COMPUTED_VALUE"""),"Fail")</f>
        <v>Fail</v>
      </c>
      <c r="P30" s="7" t="str">
        <f>IFERROR(__xludf.DUMMYFUNCTION("""COMPUTED_VALUE"""),"Jaikishan")</f>
        <v>Jaikishan</v>
      </c>
      <c r="Q30" s="8">
        <f>IFERROR(__xludf.DUMMYFUNCTION("""COMPUTED_VALUE"""),43792.0)</f>
        <v>43792</v>
      </c>
      <c r="R30" s="7" t="str">
        <f>IFERROR(__xludf.DUMMYFUNCTION("""COMPUTED_VALUE"""),"TR2019_W47")</f>
        <v>TR2019_W47</v>
      </c>
      <c r="S30" s="7" t="str">
        <f>IFERROR(__xludf.DUMMYFUNCTION("""COMPUTED_VALUE"""),"")</f>
        <v/>
      </c>
      <c r="T30" s="9" t="s">
        <v>10</v>
      </c>
      <c r="U30" s="7"/>
      <c r="V30" s="9" t="s">
        <v>56</v>
      </c>
      <c r="W30" s="9" t="s">
        <v>57</v>
      </c>
      <c r="X30" s="9" t="s">
        <v>10</v>
      </c>
      <c r="Y30" s="7"/>
      <c r="Z30" s="7"/>
    </row>
    <row r="31">
      <c r="A31" s="7" t="str">
        <f>IFERROR(__xludf.DUMMYFUNCTION("""COMPUTED_VALUE"""),"TCM_dKosh_General_SMF1_027_104")</f>
        <v>TCM_dKosh_General_SMF1_027_104</v>
      </c>
      <c r="B31" s="7" t="str">
        <f>IFERROR(__xludf.DUMMYFUNCTION("""COMPUTED_VALUE"""),"TP_dKosh_General_SMF1_027")</f>
        <v>TP_dKosh_General_SMF1_027</v>
      </c>
      <c r="C31" s="7">
        <f>IFERROR(__xludf.DUMMYFUNCTION("""COMPUTED_VALUE"""),104.0)</f>
        <v>104</v>
      </c>
      <c r="D31" s="7" t="str">
        <f>IFERROR(__xludf.DUMMYFUNCTION("""COMPUTED_VALUE"""),"")</f>
        <v/>
      </c>
      <c r="E31" s="7" t="str">
        <f>IFERROR(__xludf.DUMMYFUNCTION("""COMPUTED_VALUE"""),"Create Employee Group")</f>
        <v>Create Employee Group</v>
      </c>
      <c r="F31" s="7" t="str">
        <f>IFERROR(__xludf.DUMMYFUNCTION("""COMPUTED_VALUE"""),"M")</f>
        <v>M</v>
      </c>
      <c r="G31" s="7" t="str">
        <f>IFERROR(__xludf.DUMMYFUNCTION("""COMPUTED_VALUE"""),"Jaikishan")</f>
        <v>Jaikishan</v>
      </c>
      <c r="H31" s="7" t="str">
        <f>IFERROR(__xludf.DUMMYFUNCTION("""COMPUTED_VALUE"""),"Unit")</f>
        <v>Unit</v>
      </c>
      <c r="I31" s="7" t="str">
        <f>IFERROR(__xludf.DUMMYFUNCTION("""COMPUTED_VALUE"""),"1. Go to HCMS
2. User has permission of 'Create Employee Group'.")</f>
        <v>1. Go to HCMS
2. User has permission of 'Create Employee Group'.</v>
      </c>
      <c r="J31" s="7" t="str">
        <f>IFERROR(__xludf.DUMMYFUNCTION("""COMPUTED_VALUE"""),"Verify, ""Area"" field show all Area related to login employee")</f>
        <v>Verify, "Area" field show all Area related to login employee</v>
      </c>
      <c r="K31" s="7" t="str">
        <f>IFERROR(__xludf.DUMMYFUNCTION("""COMPUTED_VALUE"""),"1. Go to HCMS.
2. Go To ""Employees""
3. Go to ""Employee Group""
4. Click on ""+"" button
5. click on Area field
6. Check Area name")</f>
        <v>1. Go to HCMS.
2. Go To "Employees"
3. Go to "Employee Group"
4. Click on "+" button
5. click on Area field
6. Check Area name</v>
      </c>
      <c r="L31" s="7" t="str">
        <f>IFERROR(__xludf.DUMMYFUNCTION("""COMPUTED_VALUE"""),"1. All Area of login user should be show in list.
2. Bydefault no Area selected when Create new employee group.")</f>
        <v>1. All Area of login user should be show in list.
2. Bydefault no Area selected when Create new employee group.</v>
      </c>
      <c r="M31" s="7" t="str">
        <f>IFERROR(__xludf.DUMMYFUNCTION("""COMPUTED_VALUE"""),"")</f>
        <v/>
      </c>
      <c r="N31" s="7" t="str">
        <f>IFERROR(__xludf.DUMMYFUNCTION("""COMPUTED_VALUE"""),"Deleted Area also showing in list.")</f>
        <v>Deleted Area also showing in list.</v>
      </c>
      <c r="O31" s="7" t="str">
        <f>IFERROR(__xludf.DUMMYFUNCTION("""COMPUTED_VALUE"""),"Fail")</f>
        <v>Fail</v>
      </c>
      <c r="P31" s="7" t="str">
        <f>IFERROR(__xludf.DUMMYFUNCTION("""COMPUTED_VALUE"""),"Jaikishan")</f>
        <v>Jaikishan</v>
      </c>
      <c r="Q31" s="8">
        <f>IFERROR(__xludf.DUMMYFUNCTION("""COMPUTED_VALUE"""),43792.0)</f>
        <v>43792</v>
      </c>
      <c r="R31" s="7" t="str">
        <f>IFERROR(__xludf.DUMMYFUNCTION("""COMPUTED_VALUE"""),"TR2019_W47")</f>
        <v>TR2019_W47</v>
      </c>
      <c r="S31" s="7" t="str">
        <f>IFERROR(__xludf.DUMMYFUNCTION("""COMPUTED_VALUE"""),"")</f>
        <v/>
      </c>
      <c r="T31" s="9" t="s">
        <v>10</v>
      </c>
      <c r="U31" s="7"/>
      <c r="V31" s="9" t="s">
        <v>21</v>
      </c>
      <c r="W31" s="7"/>
      <c r="X31" s="7"/>
      <c r="Y31" s="7"/>
      <c r="Z31" s="7"/>
    </row>
    <row r="32">
      <c r="A32" s="7" t="str">
        <f>IFERROR(__xludf.DUMMYFUNCTION("""COMPUTED_VALUE"""),"TCM_dKosh_General_SMF1_028_105")</f>
        <v>TCM_dKosh_General_SMF1_028_105</v>
      </c>
      <c r="B32" s="7" t="str">
        <f>IFERROR(__xludf.DUMMYFUNCTION("""COMPUTED_VALUE"""),"TP_dKosh_General_SMF1_028")</f>
        <v>TP_dKosh_General_SMF1_028</v>
      </c>
      <c r="C32" s="7">
        <f>IFERROR(__xludf.DUMMYFUNCTION("""COMPUTED_VALUE"""),105.0)</f>
        <v>105</v>
      </c>
      <c r="D32" s="7" t="str">
        <f>IFERROR(__xludf.DUMMYFUNCTION("""COMPUTED_VALUE"""),"")</f>
        <v/>
      </c>
      <c r="E32" s="7" t="str">
        <f>IFERROR(__xludf.DUMMYFUNCTION("""COMPUTED_VALUE"""),"Create Employee Group")</f>
        <v>Create Employee Group</v>
      </c>
      <c r="F32" s="7" t="str">
        <f>IFERROR(__xludf.DUMMYFUNCTION("""COMPUTED_VALUE"""),"M")</f>
        <v>M</v>
      </c>
      <c r="G32" s="7" t="str">
        <f>IFERROR(__xludf.DUMMYFUNCTION("""COMPUTED_VALUE"""),"Jaikishan")</f>
        <v>Jaikishan</v>
      </c>
      <c r="H32" s="7" t="str">
        <f>IFERROR(__xludf.DUMMYFUNCTION("""COMPUTED_VALUE"""),"Unit")</f>
        <v>Unit</v>
      </c>
      <c r="I32" s="7" t="str">
        <f>IFERROR(__xludf.DUMMYFUNCTION("""COMPUTED_VALUE"""),"1. Employees mapped with any Area.")</f>
        <v>1. Employees mapped with any Area.</v>
      </c>
      <c r="J32" s="7" t="str">
        <f>IFERROR(__xludf.DUMMYFUNCTION("""COMPUTED_VALUE"""),"Verify, ""Employees in group"" list if employees mapped with selected Area")</f>
        <v>Verify, "Employees in group" list if employees mapped with selected Area</v>
      </c>
      <c r="K32" s="7" t="str">
        <f>IFERROR(__xludf.DUMMYFUNCTION("""COMPUTED_VALUE"""),"1. Go to HCMS.
2. Go To ""Employees""
3. Go to ""Employee Group""
4. Click on ""+"" button
5. Click on Area field
6. Select any Area.
7. Click on ""Save"" button.")</f>
        <v>1. Go to HCMS.
2. Go To "Employees"
3. Go to "Employee Group"
4. Click on "+" button
5. Click on Area field
6. Select any Area.
7. Click on "Save" button.</v>
      </c>
      <c r="L32" s="7" t="str">
        <f>IFERROR(__xludf.DUMMYFUNCTION("""COMPUTED_VALUE"""),"All employees of selected Area should be showing in ""Employees in group"" list.
")</f>
        <v>All employees of selected Area should be showing in "Employees in group" list.
</v>
      </c>
      <c r="M32" s="7" t="str">
        <f>IFERROR(__xludf.DUMMYFUNCTION("""COMPUTED_VALUE"""),"")</f>
        <v/>
      </c>
      <c r="N32" s="7" t="str">
        <f>IFERROR(__xludf.DUMMYFUNCTION("""COMPUTED_VALUE"""),"Ex-Employee also showing in list.")</f>
        <v>Ex-Employee also showing in list.</v>
      </c>
      <c r="O32" s="7" t="str">
        <f>IFERROR(__xludf.DUMMYFUNCTION("""COMPUTED_VALUE"""),"Fail")</f>
        <v>Fail</v>
      </c>
      <c r="P32" s="7" t="str">
        <f>IFERROR(__xludf.DUMMYFUNCTION("""COMPUTED_VALUE"""),"Jaikishan")</f>
        <v>Jaikishan</v>
      </c>
      <c r="Q32" s="8">
        <f>IFERROR(__xludf.DUMMYFUNCTION("""COMPUTED_VALUE"""),43792.0)</f>
        <v>43792</v>
      </c>
      <c r="R32" s="7" t="str">
        <f>IFERROR(__xludf.DUMMYFUNCTION("""COMPUTED_VALUE"""),"TR2019_W47")</f>
        <v>TR2019_W47</v>
      </c>
      <c r="S32" s="7" t="str">
        <f>IFERROR(__xludf.DUMMYFUNCTION("""COMPUTED_VALUE"""),"")</f>
        <v/>
      </c>
      <c r="T32" s="9" t="s">
        <v>10</v>
      </c>
      <c r="U32" s="7"/>
      <c r="V32" s="9" t="s">
        <v>21</v>
      </c>
      <c r="W32" s="7"/>
      <c r="X32" s="7"/>
      <c r="Y32" s="7"/>
      <c r="Z32" s="7"/>
    </row>
    <row r="33">
      <c r="A33" s="7" t="str">
        <f>IFERROR(__xludf.DUMMYFUNCTION("""COMPUTED_VALUE"""),"TCM_dKosh_General_SMF1_030_107")</f>
        <v>TCM_dKosh_General_SMF1_030_107</v>
      </c>
      <c r="B33" s="7" t="str">
        <f>IFERROR(__xludf.DUMMYFUNCTION("""COMPUTED_VALUE"""),"TP_dKosh_General_SMF1_030")</f>
        <v>TP_dKosh_General_SMF1_030</v>
      </c>
      <c r="C33" s="7">
        <f>IFERROR(__xludf.DUMMYFUNCTION("""COMPUTED_VALUE"""),107.0)</f>
        <v>107</v>
      </c>
      <c r="D33" s="7" t="str">
        <f>IFERROR(__xludf.DUMMYFUNCTION("""COMPUTED_VALUE"""),"")</f>
        <v/>
      </c>
      <c r="E33" s="7" t="str">
        <f>IFERROR(__xludf.DUMMYFUNCTION("""COMPUTED_VALUE"""),"Create Employee Group")</f>
        <v>Create Employee Group</v>
      </c>
      <c r="F33" s="7" t="str">
        <f>IFERROR(__xludf.DUMMYFUNCTION("""COMPUTED_VALUE"""),"M")</f>
        <v>M</v>
      </c>
      <c r="G33" s="7" t="str">
        <f>IFERROR(__xludf.DUMMYFUNCTION("""COMPUTED_VALUE"""),"Jaikishan")</f>
        <v>Jaikishan</v>
      </c>
      <c r="H33" s="7" t="str">
        <f>IFERROR(__xludf.DUMMYFUNCTION("""COMPUTED_VALUE"""),"Unit")</f>
        <v>Unit</v>
      </c>
      <c r="I33" s="7" t="str">
        <f>IFERROR(__xludf.DUMMYFUNCTION("""COMPUTED_VALUE"""),"1. Employee group already create with any Area.
2. Employees mapped with that Area.")</f>
        <v>1. Employee group already create with any Area.
2. Employees mapped with that Area.</v>
      </c>
      <c r="J33" s="7" t="str">
        <f>IFERROR(__xludf.DUMMYFUNCTION("""COMPUTED_VALUE"""),"Verify, ""Employees in group"" list when user Create new employee in selected Area.")</f>
        <v>Verify, "Employees in group" list when user Create new employee in selected Area.</v>
      </c>
      <c r="K33" s="7" t="str">
        <f>IFERROR(__xludf.DUMMYFUNCTION("""COMPUTED_VALUE"""),"1. Go to HCMS.
2. Go To ""Employees""
3. Go to ""Employee Group""
4. Click on Employee group name.
5. Create new Employee from HCMS.
6. Employee mapped with Area
7. Check in Employee in group list.")</f>
        <v>1. Go to HCMS.
2. Go To "Employees"
3. Go to "Employee Group"
4. Click on Employee group name.
5. Create new Employee from HCMS.
6. Employee mapped with Area
7. Check in Employee in group list.</v>
      </c>
      <c r="L33" s="7" t="str">
        <f>IFERROR(__xludf.DUMMYFUNCTION("""COMPUTED_VALUE"""),"New Created Employee should show in ""Employee in group"" list.")</f>
        <v>New Created Employee should show in "Employee in group" list.</v>
      </c>
      <c r="M33" s="7" t="str">
        <f>IFERROR(__xludf.DUMMYFUNCTION("""COMPUTED_VALUE"""),"")</f>
        <v/>
      </c>
      <c r="N33" s="7" t="str">
        <f>IFERROR(__xludf.DUMMYFUNCTION("""COMPUTED_VALUE"""),"Un-Approved Employee data showing in list.
")</f>
        <v>Un-Approved Employee data showing in list.
</v>
      </c>
      <c r="O33" s="7" t="str">
        <f>IFERROR(__xludf.DUMMYFUNCTION("""COMPUTED_VALUE"""),"Fail")</f>
        <v>Fail</v>
      </c>
      <c r="P33" s="7" t="str">
        <f>IFERROR(__xludf.DUMMYFUNCTION("""COMPUTED_VALUE"""),"Jaikishan")</f>
        <v>Jaikishan</v>
      </c>
      <c r="Q33" s="8">
        <f>IFERROR(__xludf.DUMMYFUNCTION("""COMPUTED_VALUE"""),43792.0)</f>
        <v>43792</v>
      </c>
      <c r="R33" s="7" t="str">
        <f>IFERROR(__xludf.DUMMYFUNCTION("""COMPUTED_VALUE"""),"TR2019_W47")</f>
        <v>TR2019_W47</v>
      </c>
      <c r="S33" s="7" t="str">
        <f>IFERROR(__xludf.DUMMYFUNCTION("""COMPUTED_VALUE"""),"")</f>
        <v/>
      </c>
      <c r="T33" s="9" t="s">
        <v>10</v>
      </c>
      <c r="U33" s="7"/>
      <c r="V33" s="9" t="s">
        <v>21</v>
      </c>
      <c r="W33" s="7"/>
      <c r="X33" s="7"/>
      <c r="Y33" s="7"/>
      <c r="Z33" s="7"/>
    </row>
    <row r="34">
      <c r="A34" s="7" t="str">
        <f>IFERROR(__xludf.DUMMYFUNCTION("""COMPUTED_VALUE"""),"TCM_dKosh_General_SMF1_033_110")</f>
        <v>TCM_dKosh_General_SMF1_033_110</v>
      </c>
      <c r="B34" s="7" t="str">
        <f>IFERROR(__xludf.DUMMYFUNCTION("""COMPUTED_VALUE"""),"TP_dKosh_General_SMF1_033")</f>
        <v>TP_dKosh_General_SMF1_033</v>
      </c>
      <c r="C34" s="7">
        <f>IFERROR(__xludf.DUMMYFUNCTION("""COMPUTED_VALUE"""),110.0)</f>
        <v>110</v>
      </c>
      <c r="D34" s="7" t="str">
        <f>IFERROR(__xludf.DUMMYFUNCTION("""COMPUTED_VALUE"""),"")</f>
        <v/>
      </c>
      <c r="E34" s="7" t="str">
        <f>IFERROR(__xludf.DUMMYFUNCTION("""COMPUTED_VALUE"""),"Create Employee Group")</f>
        <v>Create Employee Group</v>
      </c>
      <c r="F34" s="7" t="str">
        <f>IFERROR(__xludf.DUMMYFUNCTION("""COMPUTED_VALUE"""),"M")</f>
        <v>M</v>
      </c>
      <c r="G34" s="7" t="str">
        <f>IFERROR(__xludf.DUMMYFUNCTION("""COMPUTED_VALUE"""),"Jaikishan")</f>
        <v>Jaikishan</v>
      </c>
      <c r="H34" s="7" t="str">
        <f>IFERROR(__xludf.DUMMYFUNCTION("""COMPUTED_VALUE"""),"Unit")</f>
        <v>Unit</v>
      </c>
      <c r="I34" s="7" t="str">
        <f>IFERROR(__xludf.DUMMYFUNCTION("""COMPUTED_VALUE"""),"1. Employees mapped with any Area.")</f>
        <v>1. Employees mapped with any Area.</v>
      </c>
      <c r="J34" s="7" t="str">
        <f>IFERROR(__xludf.DUMMYFUNCTION("""COMPUTED_VALUE"""),"Verify, ""Employees in group"" when user select multiple Area.")</f>
        <v>Verify, "Employees in group" when user select multiple Area.</v>
      </c>
      <c r="K34" s="7" t="str">
        <f>IFERROR(__xludf.DUMMYFUNCTION("""COMPUTED_VALUE"""),"1. Go to HCMS.
2. Go To ""Employees""
3. Go to ""Employee Group""
4. Click on ""+"" button
5. Click on Area field
6. Select multiple Area.
7. Click on ""Save"" button.")</f>
        <v>1. Go to HCMS.
2. Go To "Employees"
3. Go to "Employee Group"
4. Click on "+" button
5. Click on Area field
6. Select multiple Area.
7. Click on "Save" button.</v>
      </c>
      <c r="L34" s="7" t="str">
        <f>IFERROR(__xludf.DUMMYFUNCTION("""COMPUTED_VALUE"""),"All employees of selected Area should be showing in ""Employees in group"" list.
")</f>
        <v>All employees of selected Area should be showing in "Employees in group" list.
</v>
      </c>
      <c r="M34" s="7" t="str">
        <f>IFERROR(__xludf.DUMMYFUNCTION("""COMPUTED_VALUE"""),"")</f>
        <v/>
      </c>
      <c r="N34" s="7" t="str">
        <f>IFERROR(__xludf.DUMMYFUNCTION("""COMPUTED_VALUE"""),"Current and Ex employee both showing in List.")</f>
        <v>Current and Ex employee both showing in List.</v>
      </c>
      <c r="O34" s="7" t="str">
        <f>IFERROR(__xludf.DUMMYFUNCTION("""COMPUTED_VALUE"""),"Fail")</f>
        <v>Fail</v>
      </c>
      <c r="P34" s="7" t="str">
        <f>IFERROR(__xludf.DUMMYFUNCTION("""COMPUTED_VALUE"""),"Jaikishan")</f>
        <v>Jaikishan</v>
      </c>
      <c r="Q34" s="8">
        <f>IFERROR(__xludf.DUMMYFUNCTION("""COMPUTED_VALUE"""),43792.0)</f>
        <v>43792</v>
      </c>
      <c r="R34" s="7" t="str">
        <f>IFERROR(__xludf.DUMMYFUNCTION("""COMPUTED_VALUE"""),"TR2019_W47")</f>
        <v>TR2019_W47</v>
      </c>
      <c r="S34" s="7" t="str">
        <f>IFERROR(__xludf.DUMMYFUNCTION("""COMPUTED_VALUE"""),"")</f>
        <v/>
      </c>
      <c r="T34" s="9" t="s">
        <v>10</v>
      </c>
      <c r="U34" s="7"/>
      <c r="V34" s="9" t="s">
        <v>21</v>
      </c>
      <c r="W34" s="7"/>
      <c r="X34" s="7"/>
      <c r="Y34" s="7"/>
      <c r="Z34" s="7"/>
    </row>
    <row r="35">
      <c r="A35" s="7" t="str">
        <f>IFERROR(__xludf.DUMMYFUNCTION("""COMPUTED_VALUE"""),"TCM_dKosh_General_SMF1_027_111")</f>
        <v>TCM_dKosh_General_SMF1_027_111</v>
      </c>
      <c r="B35" s="7" t="str">
        <f>IFERROR(__xludf.DUMMYFUNCTION("""COMPUTED_VALUE"""),"TP_dKosh_General_SMF1_027")</f>
        <v>TP_dKosh_General_SMF1_027</v>
      </c>
      <c r="C35" s="7">
        <f>IFERROR(__xludf.DUMMYFUNCTION("""COMPUTED_VALUE"""),111.0)</f>
        <v>111</v>
      </c>
      <c r="D35" s="7" t="str">
        <f>IFERROR(__xludf.DUMMYFUNCTION("""COMPUTED_VALUE"""),"")</f>
        <v/>
      </c>
      <c r="E35" s="7" t="str">
        <f>IFERROR(__xludf.DUMMYFUNCTION("""COMPUTED_VALUE"""),"Create Employee Group")</f>
        <v>Create Employee Group</v>
      </c>
      <c r="F35" s="7" t="str">
        <f>IFERROR(__xludf.DUMMYFUNCTION("""COMPUTED_VALUE"""),"M")</f>
        <v>M</v>
      </c>
      <c r="G35" s="7" t="str">
        <f>IFERROR(__xludf.DUMMYFUNCTION("""COMPUTED_VALUE"""),"Jaikishan")</f>
        <v>Jaikishan</v>
      </c>
      <c r="H35" s="7" t="str">
        <f>IFERROR(__xludf.DUMMYFUNCTION("""COMPUTED_VALUE"""),"Unit")</f>
        <v>Unit</v>
      </c>
      <c r="I35" s="7" t="str">
        <f>IFERROR(__xludf.DUMMYFUNCTION("""COMPUTED_VALUE"""),"1. Go to HCMS
2. User has permission of 'Create Employee Group'.")</f>
        <v>1. Go to HCMS
2. User has permission of 'Create Employee Group'.</v>
      </c>
      <c r="J35" s="7" t="str">
        <f>IFERROR(__xludf.DUMMYFUNCTION("""COMPUTED_VALUE"""),"Verify, ""District"" field show all District related to login employee")</f>
        <v>Verify, "District" field show all District related to login employee</v>
      </c>
      <c r="K35" s="7" t="str">
        <f>IFERROR(__xludf.DUMMYFUNCTION("""COMPUTED_VALUE"""),"1. Go to HCMS.
2. Go To ""Employees""
3. Go to ""Employee Group""
4. Click on ""+"" button
5. click on District field
6. Check District name")</f>
        <v>1. Go to HCMS.
2. Go To "Employees"
3. Go to "Employee Group"
4. Click on "+" button
5. click on District field
6. Check District name</v>
      </c>
      <c r="L35" s="7" t="str">
        <f>IFERROR(__xludf.DUMMYFUNCTION("""COMPUTED_VALUE"""),"1. All District of login user should be show in list.
2. Bydefault no District selected when Create new employee group.")</f>
        <v>1. All District of login user should be show in list.
2. Bydefault no District selected when Create new employee group.</v>
      </c>
      <c r="M35" s="7" t="str">
        <f>IFERROR(__xludf.DUMMYFUNCTION("""COMPUTED_VALUE"""),"")</f>
        <v/>
      </c>
      <c r="N35" s="7" t="str">
        <f>IFERROR(__xludf.DUMMYFUNCTION("""COMPUTED_VALUE"""),"Deleted District also showing in list.")</f>
        <v>Deleted District also showing in list.</v>
      </c>
      <c r="O35" s="7" t="str">
        <f>IFERROR(__xludf.DUMMYFUNCTION("""COMPUTED_VALUE"""),"Fail")</f>
        <v>Fail</v>
      </c>
      <c r="P35" s="7" t="str">
        <f>IFERROR(__xludf.DUMMYFUNCTION("""COMPUTED_VALUE"""),"Jaikishan")</f>
        <v>Jaikishan</v>
      </c>
      <c r="Q35" s="8">
        <f>IFERROR(__xludf.DUMMYFUNCTION("""COMPUTED_VALUE"""),43792.0)</f>
        <v>43792</v>
      </c>
      <c r="R35" s="7" t="str">
        <f>IFERROR(__xludf.DUMMYFUNCTION("""COMPUTED_VALUE"""),"TR2019_W47")</f>
        <v>TR2019_W47</v>
      </c>
      <c r="S35" s="7" t="str">
        <f>IFERROR(__xludf.DUMMYFUNCTION("""COMPUTED_VALUE"""),"")</f>
        <v/>
      </c>
      <c r="T35" s="9" t="s">
        <v>10</v>
      </c>
      <c r="U35" s="7"/>
      <c r="V35" s="9" t="s">
        <v>21</v>
      </c>
      <c r="W35" s="7"/>
      <c r="X35" s="7"/>
      <c r="Y35" s="7"/>
      <c r="Z35" s="7"/>
    </row>
    <row r="36">
      <c r="A36" s="7" t="str">
        <f>IFERROR(__xludf.DUMMYFUNCTION("""COMPUTED_VALUE"""),"TCM_dKosh_General_SMF1_028_112")</f>
        <v>TCM_dKosh_General_SMF1_028_112</v>
      </c>
      <c r="B36" s="7" t="str">
        <f>IFERROR(__xludf.DUMMYFUNCTION("""COMPUTED_VALUE"""),"TP_dKosh_General_SMF1_028")</f>
        <v>TP_dKosh_General_SMF1_028</v>
      </c>
      <c r="C36" s="7">
        <f>IFERROR(__xludf.DUMMYFUNCTION("""COMPUTED_VALUE"""),112.0)</f>
        <v>112</v>
      </c>
      <c r="D36" s="7" t="str">
        <f>IFERROR(__xludf.DUMMYFUNCTION("""COMPUTED_VALUE"""),"")</f>
        <v/>
      </c>
      <c r="E36" s="7" t="str">
        <f>IFERROR(__xludf.DUMMYFUNCTION("""COMPUTED_VALUE"""),"Create Employee Group")</f>
        <v>Create Employee Group</v>
      </c>
      <c r="F36" s="7" t="str">
        <f>IFERROR(__xludf.DUMMYFUNCTION("""COMPUTED_VALUE"""),"M")</f>
        <v>M</v>
      </c>
      <c r="G36" s="7" t="str">
        <f>IFERROR(__xludf.DUMMYFUNCTION("""COMPUTED_VALUE"""),"Jaikishan")</f>
        <v>Jaikishan</v>
      </c>
      <c r="H36" s="7" t="str">
        <f>IFERROR(__xludf.DUMMYFUNCTION("""COMPUTED_VALUE"""),"Unit")</f>
        <v>Unit</v>
      </c>
      <c r="I36" s="7" t="str">
        <f>IFERROR(__xludf.DUMMYFUNCTION("""COMPUTED_VALUE"""),"1. Employees mapped with any District.")</f>
        <v>1. Employees mapped with any District.</v>
      </c>
      <c r="J36" s="7" t="str">
        <f>IFERROR(__xludf.DUMMYFUNCTION("""COMPUTED_VALUE"""),"Verify, ""Employees in group"" list if employees mapped with selected District")</f>
        <v>Verify, "Employees in group" list if employees mapped with selected District</v>
      </c>
      <c r="K36" s="7" t="str">
        <f>IFERROR(__xludf.DUMMYFUNCTION("""COMPUTED_VALUE"""),"1. Go to HCMS.
2. Go To ""Employees""
3. Go to ""Employee Group""
4. Click on ""+"" button
5. Click on District field
6. Select any District.
7. Click on ""Save"" button.")</f>
        <v>1. Go to HCMS.
2. Go To "Employees"
3. Go to "Employee Group"
4. Click on "+" button
5. Click on District field
6. Select any District.
7. Click on "Save" button.</v>
      </c>
      <c r="L36" s="7" t="str">
        <f>IFERROR(__xludf.DUMMYFUNCTION("""COMPUTED_VALUE"""),"All employees of selected District should be showing in ""Employees in group"" list.
")</f>
        <v>All employees of selected District should be showing in "Employees in group" list.
</v>
      </c>
      <c r="M36" s="7" t="str">
        <f>IFERROR(__xludf.DUMMYFUNCTION("""COMPUTED_VALUE"""),"")</f>
        <v/>
      </c>
      <c r="N36" s="7" t="str">
        <f>IFERROR(__xludf.DUMMYFUNCTION("""COMPUTED_VALUE"""),"Ex-Employee also showing in list.")</f>
        <v>Ex-Employee also showing in list.</v>
      </c>
      <c r="O36" s="7" t="str">
        <f>IFERROR(__xludf.DUMMYFUNCTION("""COMPUTED_VALUE"""),"Fail")</f>
        <v>Fail</v>
      </c>
      <c r="P36" s="7" t="str">
        <f>IFERROR(__xludf.DUMMYFUNCTION("""COMPUTED_VALUE"""),"Jaikishan")</f>
        <v>Jaikishan</v>
      </c>
      <c r="Q36" s="8">
        <f>IFERROR(__xludf.DUMMYFUNCTION("""COMPUTED_VALUE"""),43792.0)</f>
        <v>43792</v>
      </c>
      <c r="R36" s="7" t="str">
        <f>IFERROR(__xludf.DUMMYFUNCTION("""COMPUTED_VALUE"""),"TR2019_W47")</f>
        <v>TR2019_W47</v>
      </c>
      <c r="S36" s="7" t="str">
        <f>IFERROR(__xludf.DUMMYFUNCTION("""COMPUTED_VALUE"""),"")</f>
        <v/>
      </c>
      <c r="T36" s="9" t="s">
        <v>10</v>
      </c>
      <c r="U36" s="7"/>
      <c r="V36" s="9" t="s">
        <v>21</v>
      </c>
      <c r="W36" s="7"/>
      <c r="X36" s="7"/>
      <c r="Y36" s="7"/>
      <c r="Z36" s="7"/>
    </row>
    <row r="37">
      <c r="A37" s="7" t="str">
        <f>IFERROR(__xludf.DUMMYFUNCTION("""COMPUTED_VALUE"""),"TCM_dKosh_General_SMF1_030_114")</f>
        <v>TCM_dKosh_General_SMF1_030_114</v>
      </c>
      <c r="B37" s="7" t="str">
        <f>IFERROR(__xludf.DUMMYFUNCTION("""COMPUTED_VALUE"""),"TP_dKosh_General_SMF1_030")</f>
        <v>TP_dKosh_General_SMF1_030</v>
      </c>
      <c r="C37" s="7">
        <f>IFERROR(__xludf.DUMMYFUNCTION("""COMPUTED_VALUE"""),114.0)</f>
        <v>114</v>
      </c>
      <c r="D37" s="7" t="str">
        <f>IFERROR(__xludf.DUMMYFUNCTION("""COMPUTED_VALUE"""),"")</f>
        <v/>
      </c>
      <c r="E37" s="7" t="str">
        <f>IFERROR(__xludf.DUMMYFUNCTION("""COMPUTED_VALUE"""),"Create Employee Group")</f>
        <v>Create Employee Group</v>
      </c>
      <c r="F37" s="7" t="str">
        <f>IFERROR(__xludf.DUMMYFUNCTION("""COMPUTED_VALUE"""),"M")</f>
        <v>M</v>
      </c>
      <c r="G37" s="7" t="str">
        <f>IFERROR(__xludf.DUMMYFUNCTION("""COMPUTED_VALUE"""),"Jaikishan")</f>
        <v>Jaikishan</v>
      </c>
      <c r="H37" s="7" t="str">
        <f>IFERROR(__xludf.DUMMYFUNCTION("""COMPUTED_VALUE"""),"Unit")</f>
        <v>Unit</v>
      </c>
      <c r="I37" s="7" t="str">
        <f>IFERROR(__xludf.DUMMYFUNCTION("""COMPUTED_VALUE"""),"1. Employee group already create with any District.
2. Employees mapped with that District.")</f>
        <v>1. Employee group already create with any District.
2. Employees mapped with that District.</v>
      </c>
      <c r="J37" s="7" t="str">
        <f>IFERROR(__xludf.DUMMYFUNCTION("""COMPUTED_VALUE"""),"Verify, ""Employees in group"" list when user Create new employee in selected District.")</f>
        <v>Verify, "Employees in group" list when user Create new employee in selected District.</v>
      </c>
      <c r="K37" s="7" t="str">
        <f>IFERROR(__xludf.DUMMYFUNCTION("""COMPUTED_VALUE"""),"1. Go to HCMS.
2. Go To ""Employees""
3. Go to ""Employee Group""
4. Click on Employee group name.
5. Create new Employee from HCMS.
6. Employee mapped with District
7. Check in Employee in group list.")</f>
        <v>1. Go to HCMS.
2. Go To "Employees"
3. Go to "Employee Group"
4. Click on Employee group name.
5. Create new Employee from HCMS.
6. Employee mapped with District
7. Check in Employee in group list.</v>
      </c>
      <c r="L37" s="7" t="str">
        <f>IFERROR(__xludf.DUMMYFUNCTION("""COMPUTED_VALUE"""),"New Created Employee should show in ""Employee in group"" list.")</f>
        <v>New Created Employee should show in "Employee in group" list.</v>
      </c>
      <c r="M37" s="7" t="str">
        <f>IFERROR(__xludf.DUMMYFUNCTION("""COMPUTED_VALUE"""),"")</f>
        <v/>
      </c>
      <c r="N37" s="7" t="str">
        <f>IFERROR(__xludf.DUMMYFUNCTION("""COMPUTED_VALUE"""),"Un-Approved Employee data showing in list.
")</f>
        <v>Un-Approved Employee data showing in list.
</v>
      </c>
      <c r="O37" s="7" t="str">
        <f>IFERROR(__xludf.DUMMYFUNCTION("""COMPUTED_VALUE"""),"Fail")</f>
        <v>Fail</v>
      </c>
      <c r="P37" s="7" t="str">
        <f>IFERROR(__xludf.DUMMYFUNCTION("""COMPUTED_VALUE"""),"Jaikishan")</f>
        <v>Jaikishan</v>
      </c>
      <c r="Q37" s="8">
        <f>IFERROR(__xludf.DUMMYFUNCTION("""COMPUTED_VALUE"""),43792.0)</f>
        <v>43792</v>
      </c>
      <c r="R37" s="7" t="str">
        <f>IFERROR(__xludf.DUMMYFUNCTION("""COMPUTED_VALUE"""),"TR2019_W47")</f>
        <v>TR2019_W47</v>
      </c>
      <c r="S37" s="7" t="str">
        <f>IFERROR(__xludf.DUMMYFUNCTION("""COMPUTED_VALUE"""),"")</f>
        <v/>
      </c>
      <c r="T37" s="9" t="s">
        <v>10</v>
      </c>
      <c r="U37" s="7"/>
      <c r="V37" s="9" t="s">
        <v>21</v>
      </c>
      <c r="W37" s="7"/>
      <c r="X37" s="7"/>
      <c r="Y37" s="7"/>
      <c r="Z37" s="7"/>
    </row>
    <row r="38">
      <c r="A38" s="7" t="str">
        <f>IFERROR(__xludf.DUMMYFUNCTION("""COMPUTED_VALUE"""),"TCM_dKosh_General_SMF1_033_117")</f>
        <v>TCM_dKosh_General_SMF1_033_117</v>
      </c>
      <c r="B38" s="7" t="str">
        <f>IFERROR(__xludf.DUMMYFUNCTION("""COMPUTED_VALUE"""),"TP_dKosh_General_SMF1_033")</f>
        <v>TP_dKosh_General_SMF1_033</v>
      </c>
      <c r="C38" s="7">
        <f>IFERROR(__xludf.DUMMYFUNCTION("""COMPUTED_VALUE"""),117.0)</f>
        <v>117</v>
      </c>
      <c r="D38" s="7" t="str">
        <f>IFERROR(__xludf.DUMMYFUNCTION("""COMPUTED_VALUE"""),"")</f>
        <v/>
      </c>
      <c r="E38" s="7" t="str">
        <f>IFERROR(__xludf.DUMMYFUNCTION("""COMPUTED_VALUE"""),"Create Employee Group")</f>
        <v>Create Employee Group</v>
      </c>
      <c r="F38" s="7" t="str">
        <f>IFERROR(__xludf.DUMMYFUNCTION("""COMPUTED_VALUE"""),"M")</f>
        <v>M</v>
      </c>
      <c r="G38" s="7" t="str">
        <f>IFERROR(__xludf.DUMMYFUNCTION("""COMPUTED_VALUE"""),"Jaikishan")</f>
        <v>Jaikishan</v>
      </c>
      <c r="H38" s="7" t="str">
        <f>IFERROR(__xludf.DUMMYFUNCTION("""COMPUTED_VALUE"""),"Unit")</f>
        <v>Unit</v>
      </c>
      <c r="I38" s="7" t="str">
        <f>IFERROR(__xludf.DUMMYFUNCTION("""COMPUTED_VALUE"""),"1. Employees mapped with any District.")</f>
        <v>1. Employees mapped with any District.</v>
      </c>
      <c r="J38" s="7" t="str">
        <f>IFERROR(__xludf.DUMMYFUNCTION("""COMPUTED_VALUE"""),"Verify, ""Employees in group"" when user select multiple District.")</f>
        <v>Verify, "Employees in group" when user select multiple District.</v>
      </c>
      <c r="K38" s="7" t="str">
        <f>IFERROR(__xludf.DUMMYFUNCTION("""COMPUTED_VALUE"""),"1. Go to HCMS.
2. Go To ""Employees""
3. Go to ""Employee Group""
4. Click on ""+"" button
5. Click on District field
6. Select multiple District.
7. Click on ""Save"" button.")</f>
        <v>1. Go to HCMS.
2. Go To "Employees"
3. Go to "Employee Group"
4. Click on "+" button
5. Click on District field
6. Select multiple District.
7. Click on "Save" button.</v>
      </c>
      <c r="L38" s="7" t="str">
        <f>IFERROR(__xludf.DUMMYFUNCTION("""COMPUTED_VALUE"""),"All employees of selected District should be showing in ""Employees in group"" list.
")</f>
        <v>All employees of selected District should be showing in "Employees in group" list.
</v>
      </c>
      <c r="M38" s="7" t="str">
        <f>IFERROR(__xludf.DUMMYFUNCTION("""COMPUTED_VALUE"""),"")</f>
        <v/>
      </c>
      <c r="N38" s="7" t="str">
        <f>IFERROR(__xludf.DUMMYFUNCTION("""COMPUTED_VALUE"""),"Current and Ex employee both showing in List.")</f>
        <v>Current and Ex employee both showing in List.</v>
      </c>
      <c r="O38" s="7" t="str">
        <f>IFERROR(__xludf.DUMMYFUNCTION("""COMPUTED_VALUE"""),"Fail")</f>
        <v>Fail</v>
      </c>
      <c r="P38" s="7" t="str">
        <f>IFERROR(__xludf.DUMMYFUNCTION("""COMPUTED_VALUE"""),"Jaikishan")</f>
        <v>Jaikishan</v>
      </c>
      <c r="Q38" s="8">
        <f>IFERROR(__xludf.DUMMYFUNCTION("""COMPUTED_VALUE"""),43792.0)</f>
        <v>43792</v>
      </c>
      <c r="R38" s="7" t="str">
        <f>IFERROR(__xludf.DUMMYFUNCTION("""COMPUTED_VALUE"""),"TR2019_W47")</f>
        <v>TR2019_W47</v>
      </c>
      <c r="S38" s="7" t="str">
        <f>IFERROR(__xludf.DUMMYFUNCTION("""COMPUTED_VALUE"""),"")</f>
        <v/>
      </c>
      <c r="T38" s="9" t="s">
        <v>10</v>
      </c>
      <c r="U38" s="7"/>
      <c r="V38" s="9" t="s">
        <v>21</v>
      </c>
      <c r="W38" s="7"/>
      <c r="X38" s="7"/>
      <c r="Y38" s="7"/>
      <c r="Z38" s="7"/>
    </row>
    <row r="39">
      <c r="A39" s="7" t="str">
        <f>IFERROR(__xludf.DUMMYFUNCTION("""COMPUTED_VALUE"""),"TCM_dKosh_General_SMF1_029_000")</f>
        <v>TCM_dKosh_General_SMF1_029_000</v>
      </c>
      <c r="B39" s="7" t="str">
        <f>IFERROR(__xludf.DUMMYFUNCTION("""COMPUTED_VALUE"""),"TP_dKosh_General_SMF1_029")</f>
        <v>TP_dKosh_General_SMF1_029</v>
      </c>
      <c r="C39" s="7" t="str">
        <f>IFERROR(__xludf.DUMMYFUNCTION("""COMPUTED_VALUE"""),"")</f>
        <v/>
      </c>
      <c r="D39" s="7" t="str">
        <f>IFERROR(__xludf.DUMMYFUNCTION("""COMPUTED_VALUE"""),"")</f>
        <v/>
      </c>
      <c r="E39" s="7" t="str">
        <f>IFERROR(__xludf.DUMMYFUNCTION("""COMPUTED_VALUE"""),"Employee Group List")</f>
        <v>Employee Group List</v>
      </c>
      <c r="F39" s="7" t="str">
        <f>IFERROR(__xludf.DUMMYFUNCTION("""COMPUTED_VALUE"""),"M")</f>
        <v>M</v>
      </c>
      <c r="G39" s="7" t="str">
        <f>IFERROR(__xludf.DUMMYFUNCTION("""COMPUTED_VALUE"""),"Jaikishan")</f>
        <v>Jaikishan</v>
      </c>
      <c r="H39" s="7" t="str">
        <f>IFERROR(__xludf.DUMMYFUNCTION("""COMPUTED_VALUE"""),"UI")</f>
        <v>UI</v>
      </c>
      <c r="I39" s="7" t="str">
        <f>IFERROR(__xludf.DUMMYFUNCTION("""COMPUTED_VALUE"""),"1. Employee Group must be created.
2. User has permission of 'View Employee Group List'.")</f>
        <v>1. Employee Group must be created.
2. User has permission of 'View Employee Group List'.</v>
      </c>
      <c r="J39" s="7" t="str">
        <f>IFERROR(__xludf.DUMMYFUNCTION("""COMPUTED_VALUE"""),"Verify, Table structure is changing for empty or Non-empty data. ")</f>
        <v>Verify, Table structure is changing for empty or Non-empty data. </v>
      </c>
      <c r="K39" s="7" t="str">
        <f>IFERROR(__xludf.DUMMYFUNCTION("""COMPUTED_VALUE"""),"1. Go  to 'Manage Employee Group' list.
2. Check for empty Table &amp; For non-empty table")</f>
        <v>1. Go  to 'Manage Employee Group' list.
2. Check for empty Table &amp; For non-empty table</v>
      </c>
      <c r="L39" s="7" t="str">
        <f>IFERROR(__xludf.DUMMYFUNCTION("""COMPUTED_VALUE"""),"Table structure should be same for empty and Non-Empty table.
")</f>
        <v>Table structure should be same for empty and Non-Empty table.
</v>
      </c>
      <c r="M39" s="7" t="str">
        <f>IFERROR(__xludf.DUMMYFUNCTION("""COMPUTED_VALUE"""),"")</f>
        <v/>
      </c>
      <c r="N39" s="7" t="str">
        <f>IFERROR(__xludf.DUMMYFUNCTION("""COMPUTED_VALUE"""),"Table structure Changed for empty and Non-Empty table.
")</f>
        <v>Table structure Changed for empty and Non-Empty table.
</v>
      </c>
      <c r="O39" s="7" t="str">
        <f>IFERROR(__xludf.DUMMYFUNCTION("""COMPUTED_VALUE"""),"Fail")</f>
        <v>Fail</v>
      </c>
      <c r="P39" s="7" t="str">
        <f>IFERROR(__xludf.DUMMYFUNCTION("""COMPUTED_VALUE"""),"Jaikishan")</f>
        <v>Jaikishan</v>
      </c>
      <c r="Q39" s="8">
        <f>IFERROR(__xludf.DUMMYFUNCTION("""COMPUTED_VALUE"""),43792.0)</f>
        <v>43792</v>
      </c>
      <c r="R39" s="7" t="str">
        <f>IFERROR(__xludf.DUMMYFUNCTION("""COMPUTED_VALUE"""),"")</f>
        <v/>
      </c>
      <c r="S39" s="7" t="str">
        <f>IFERROR(__xludf.DUMMYFUNCTION("""COMPUTED_VALUE"""),"")</f>
        <v/>
      </c>
      <c r="T39" s="9" t="s">
        <v>10</v>
      </c>
      <c r="U39" s="9" t="s">
        <v>30</v>
      </c>
      <c r="V39" s="9" t="s">
        <v>27</v>
      </c>
      <c r="W39" s="9" t="s">
        <v>58</v>
      </c>
      <c r="X39" s="9" t="s">
        <v>10</v>
      </c>
      <c r="Y39" s="7"/>
      <c r="Z39" s="7"/>
    </row>
    <row r="40">
      <c r="A40" s="7" t="str">
        <f>IFERROR(__xludf.DUMMYFUNCTION("""COMPUTED_VALUE"""),"TCM_dKosh_General_SMF1_029_000")</f>
        <v>TCM_dKosh_General_SMF1_029_000</v>
      </c>
      <c r="B40" s="7" t="str">
        <f>IFERROR(__xludf.DUMMYFUNCTION("""COMPUTED_VALUE"""),"TP_dKosh_General_SMF1_029")</f>
        <v>TP_dKosh_General_SMF1_029</v>
      </c>
      <c r="C40" s="7" t="str">
        <f>IFERROR(__xludf.DUMMYFUNCTION("""COMPUTED_VALUE"""),"")</f>
        <v/>
      </c>
      <c r="D40" s="7" t="str">
        <f>IFERROR(__xludf.DUMMYFUNCTION("""COMPUTED_VALUE"""),"")</f>
        <v/>
      </c>
      <c r="E40" s="7" t="str">
        <f>IFERROR(__xludf.DUMMYFUNCTION("""COMPUTED_VALUE"""),"Employee Group List")</f>
        <v>Employee Group List</v>
      </c>
      <c r="F40" s="7" t="str">
        <f>IFERROR(__xludf.DUMMYFUNCTION("""COMPUTED_VALUE"""),"M")</f>
        <v>M</v>
      </c>
      <c r="G40" s="7" t="str">
        <f>IFERROR(__xludf.DUMMYFUNCTION("""COMPUTED_VALUE"""),"Jaikishan")</f>
        <v>Jaikishan</v>
      </c>
      <c r="H40" s="7" t="str">
        <f>IFERROR(__xludf.DUMMYFUNCTION("""COMPUTED_VALUE"""),"Functional")</f>
        <v>Functional</v>
      </c>
      <c r="I40" s="7" t="str">
        <f>IFERROR(__xludf.DUMMYFUNCTION("""COMPUTED_VALUE"""),"1. Employee Group must be created.
2. User has permission of 'View Employee Group List'.")</f>
        <v>1. Employee Group must be created.
2. User has permission of 'View Employee Group List'.</v>
      </c>
      <c r="J40" s="7" t="str">
        <f>IFERROR(__xludf.DUMMYFUNCTION("""COMPUTED_VALUE"""),"Verify, Search is working on list of Employee Group.")</f>
        <v>Verify, Search is working on list of Employee Group.</v>
      </c>
      <c r="K40" s="7" t="str">
        <f>IFERROR(__xludf.DUMMYFUNCTION("""COMPUTED_VALUE"""),"1. Go  to 'Manage Employee Group' list.
2. Search records(Employee Groups) by Employee Group name.")</f>
        <v>1. Go  to 'Manage Employee Group' list.
2. Search records(Employee Groups) by Employee Group name.</v>
      </c>
      <c r="L40" s="7" t="str">
        <f>IFERROR(__xludf.DUMMYFUNCTION("""COMPUTED_VALUE"""),"Searched records should be displayed in list.")</f>
        <v>Searched records should be displayed in list.</v>
      </c>
      <c r="M40" s="7" t="str">
        <f>IFERROR(__xludf.DUMMYFUNCTION("""COMPUTED_VALUE"""),"Like function should be used.")</f>
        <v>Like function should be used.</v>
      </c>
      <c r="N40" s="7" t="str">
        <f>IFERROR(__xludf.DUMMYFUNCTION("""COMPUTED_VALUE"""),"Search is not working for partial text (Accept full text)")</f>
        <v>Search is not working for partial text (Accept full text)</v>
      </c>
      <c r="O40" s="7" t="str">
        <f>IFERROR(__xludf.DUMMYFUNCTION("""COMPUTED_VALUE"""),"Fail")</f>
        <v>Fail</v>
      </c>
      <c r="P40" s="7" t="str">
        <f>IFERROR(__xludf.DUMMYFUNCTION("""COMPUTED_VALUE"""),"Jaikishan")</f>
        <v>Jaikishan</v>
      </c>
      <c r="Q40" s="8">
        <f>IFERROR(__xludf.DUMMYFUNCTION("""COMPUTED_VALUE"""),43792.0)</f>
        <v>43792</v>
      </c>
      <c r="R40" s="7" t="str">
        <f>IFERROR(__xludf.DUMMYFUNCTION("""COMPUTED_VALUE"""),"")</f>
        <v/>
      </c>
      <c r="S40" s="7" t="str">
        <f>IFERROR(__xludf.DUMMYFUNCTION("""COMPUTED_VALUE"""),"")</f>
        <v/>
      </c>
      <c r="T40" s="9" t="s">
        <v>10</v>
      </c>
      <c r="U40" s="7"/>
      <c r="V40" s="9" t="s">
        <v>21</v>
      </c>
      <c r="W40" s="7"/>
      <c r="X40" s="7"/>
      <c r="Y40" s="7"/>
      <c r="Z40" s="7"/>
    </row>
    <row r="41">
      <c r="A41" s="7" t="str">
        <f>IFERROR(__xludf.DUMMYFUNCTION("""COMPUTED_VALUE"""),"TCM_dKosh_General_SMF1_029_000")</f>
        <v>TCM_dKosh_General_SMF1_029_000</v>
      </c>
      <c r="B41" s="7" t="str">
        <f>IFERROR(__xludf.DUMMYFUNCTION("""COMPUTED_VALUE"""),"TP_dKosh_General_SMF1_029")</f>
        <v>TP_dKosh_General_SMF1_029</v>
      </c>
      <c r="C41" s="7" t="str">
        <f>IFERROR(__xludf.DUMMYFUNCTION("""COMPUTED_VALUE"""),"")</f>
        <v/>
      </c>
      <c r="D41" s="7" t="str">
        <f>IFERROR(__xludf.DUMMYFUNCTION("""COMPUTED_VALUE"""),"")</f>
        <v/>
      </c>
      <c r="E41" s="7" t="str">
        <f>IFERROR(__xludf.DUMMYFUNCTION("""COMPUTED_VALUE"""),"Employee Group List")</f>
        <v>Employee Group List</v>
      </c>
      <c r="F41" s="7" t="str">
        <f>IFERROR(__xludf.DUMMYFUNCTION("""COMPUTED_VALUE"""),"M")</f>
        <v>M</v>
      </c>
      <c r="G41" s="7" t="str">
        <f>IFERROR(__xludf.DUMMYFUNCTION("""COMPUTED_VALUE"""),"Jaikishan")</f>
        <v>Jaikishan</v>
      </c>
      <c r="H41" s="7" t="str">
        <f>IFERROR(__xludf.DUMMYFUNCTION("""COMPUTED_VALUE"""),"Functional")</f>
        <v>Functional</v>
      </c>
      <c r="I41" s="7" t="str">
        <f>IFERROR(__xludf.DUMMYFUNCTION("""COMPUTED_VALUE"""),"1. Employee Group must be created.
2. User has permission of 'View Employee Group List'.")</f>
        <v>1. Employee Group must be created.
2. User has permission of 'View Employee Group List'.</v>
      </c>
      <c r="J41" s="7" t="str">
        <f>IFERROR(__xludf.DUMMYFUNCTION("""COMPUTED_VALUE"""),"Verify, Employee Group is clickable and post action after click.")</f>
        <v>Verify, Employee Group is clickable and post action after click.</v>
      </c>
      <c r="K41" s="7" t="str">
        <f>IFERROR(__xludf.DUMMYFUNCTION("""COMPUTED_VALUE"""),"1. Go  to 'Manage Employee Group' list.
2. Click on Employee Group name from Manage Employee Group List.
")</f>
        <v>1. Go  to 'Manage Employee Group' list.
2. Click on Employee Group name from Manage Employee Group List.
</v>
      </c>
      <c r="L41" s="7" t="str">
        <f>IFERROR(__xludf.DUMMYFUNCTION("""COMPUTED_VALUE"""),"1.Employee Group is clickable.
2.Modify Employee Group Page should be open when click on Employee Group name. ")</f>
        <v>1.Employee Group is clickable.
2.Modify Employee Group Page should be open when click on Employee Group name. </v>
      </c>
      <c r="M41" s="7" t="str">
        <f>IFERROR(__xludf.DUMMYFUNCTION("""COMPUTED_VALUE"""),"")</f>
        <v/>
      </c>
      <c r="N41" s="7" t="str">
        <f>IFERROR(__xludf.DUMMYFUNCTION("""COMPUTED_VALUE"""),"1.Employee Group is clickable.
2.Update Employee Group Page instead of Modify Employee Group.")</f>
        <v>1.Employee Group is clickable.
2.Update Employee Group Page instead of Modify Employee Group.</v>
      </c>
      <c r="O41" s="7" t="str">
        <f>IFERROR(__xludf.DUMMYFUNCTION("""COMPUTED_VALUE"""),"Fail")</f>
        <v>Fail</v>
      </c>
      <c r="P41" s="7" t="str">
        <f>IFERROR(__xludf.DUMMYFUNCTION("""COMPUTED_VALUE"""),"Jaikishan")</f>
        <v>Jaikishan</v>
      </c>
      <c r="Q41" s="8">
        <f>IFERROR(__xludf.DUMMYFUNCTION("""COMPUTED_VALUE"""),43792.0)</f>
        <v>43792</v>
      </c>
      <c r="R41" s="7" t="str">
        <f>IFERROR(__xludf.DUMMYFUNCTION("""COMPUTED_VALUE"""),"")</f>
        <v/>
      </c>
      <c r="S41" s="7" t="str">
        <f>IFERROR(__xludf.DUMMYFUNCTION("""COMPUTED_VALUE"""),"
")</f>
        <v>
</v>
      </c>
      <c r="T41" s="9" t="s">
        <v>10</v>
      </c>
      <c r="U41" s="7"/>
      <c r="V41" s="9" t="s">
        <v>21</v>
      </c>
      <c r="W41" s="7"/>
      <c r="X41" s="7"/>
      <c r="Y41" s="7"/>
      <c r="Z41" s="7"/>
    </row>
    <row r="42">
      <c r="A42" s="7" t="str">
        <f>IFERROR(__xludf.DUMMYFUNCTION("""COMPUTED_VALUE"""),"TCM_dKosh_General_SMF1_029_000")</f>
        <v>TCM_dKosh_General_SMF1_029_000</v>
      </c>
      <c r="B42" s="7" t="str">
        <f>IFERROR(__xludf.DUMMYFUNCTION("""COMPUTED_VALUE"""),"TP_dKosh_General_SMF1_029")</f>
        <v>TP_dKosh_General_SMF1_029</v>
      </c>
      <c r="C42" s="7" t="str">
        <f>IFERROR(__xludf.DUMMYFUNCTION("""COMPUTED_VALUE"""),"")</f>
        <v/>
      </c>
      <c r="D42" s="7" t="str">
        <f>IFERROR(__xludf.DUMMYFUNCTION("""COMPUTED_VALUE"""),"")</f>
        <v/>
      </c>
      <c r="E42" s="7" t="str">
        <f>IFERROR(__xludf.DUMMYFUNCTION("""COMPUTED_VALUE"""),"Employee Group List")</f>
        <v>Employee Group List</v>
      </c>
      <c r="F42" s="7" t="str">
        <f>IFERROR(__xludf.DUMMYFUNCTION("""COMPUTED_VALUE"""),"M")</f>
        <v>M</v>
      </c>
      <c r="G42" s="7" t="str">
        <f>IFERROR(__xludf.DUMMYFUNCTION("""COMPUTED_VALUE"""),"Jaikishan")</f>
        <v>Jaikishan</v>
      </c>
      <c r="H42" s="7" t="str">
        <f>IFERROR(__xludf.DUMMYFUNCTION("""COMPUTED_VALUE"""),"Validation")</f>
        <v>Validation</v>
      </c>
      <c r="I42" s="7" t="str">
        <f>IFERROR(__xludf.DUMMYFUNCTION("""COMPUTED_VALUE"""),"1. Employee Group must be created.
2. User has permission of 'View Employee Group List'.")</f>
        <v>1. Employee Group must be created.
2. User has permission of 'View Employee Group List'.</v>
      </c>
      <c r="J42" s="7" t="str">
        <f>IFERROR(__xludf.DUMMYFUNCTION("""COMPUTED_VALUE"""),"Verify, Columns to be displayed in Filter &amp; Verify Control Type.")</f>
        <v>Verify, Columns to be displayed in Filter &amp; Verify Control Type.</v>
      </c>
      <c r="K42" s="7" t="str">
        <f>IFERROR(__xludf.DUMMYFUNCTION("""COMPUTED_VALUE"""),"1. Go  to 'Manage Employee Group' list.
2. Click on Filter icon.
3. Verify column to display.(filters)")</f>
        <v>1. Go  to 'Manage Employee Group' list.
2. Click on Filter icon.
3. Verify column to display.(filters)</v>
      </c>
      <c r="L42" s="7" t="str">
        <f>IFERROR(__xludf.DUMMYFUNCTION("""COMPUTED_VALUE"""),"1. Employee Group (dropdown)
2. Organisation (dropdown)
3. Department (dropdown)
4. Area (dropdown)
5. Employee (dropdown)
6. Available (dropdown)
7. Show Result (button)
8. Reset (button)")</f>
        <v>1. Employee Group (dropdown)
2. Organisation (dropdown)
3. Department (dropdown)
4. Area (dropdown)
5. Employee (dropdown)
6. Available (dropdown)
7. Show Result (button)
8. Reset (button)</v>
      </c>
      <c r="M42" s="7" t="str">
        <f>IFERROR(__xludf.DUMMYFUNCTION("""COMPUTED_VALUE"""),"")</f>
        <v/>
      </c>
      <c r="N42" s="7" t="str">
        <f>IFERROR(__xludf.DUMMYFUNCTION("""COMPUTED_VALUE"""),"1. Control Type is different.
2.  Some filter is not present
")</f>
        <v>1. Control Type is different.
2.  Some filter is not present
</v>
      </c>
      <c r="O42" s="7" t="str">
        <f>IFERROR(__xludf.DUMMYFUNCTION("""COMPUTED_VALUE"""),"Fail")</f>
        <v>Fail</v>
      </c>
      <c r="P42" s="7" t="str">
        <f>IFERROR(__xludf.DUMMYFUNCTION("""COMPUTED_VALUE"""),"Jaikishan")</f>
        <v>Jaikishan</v>
      </c>
      <c r="Q42" s="8">
        <f>IFERROR(__xludf.DUMMYFUNCTION("""COMPUTED_VALUE"""),43792.0)</f>
        <v>43792</v>
      </c>
      <c r="R42" s="7" t="str">
        <f>IFERROR(__xludf.DUMMYFUNCTION("""COMPUTED_VALUE"""),"")</f>
        <v/>
      </c>
      <c r="S42" s="7" t="str">
        <f>IFERROR(__xludf.DUMMYFUNCTION("""COMPUTED_VALUE"""),"High - Priority")</f>
        <v>High - Priority</v>
      </c>
      <c r="T42" s="9" t="s">
        <v>10</v>
      </c>
      <c r="U42" s="7"/>
      <c r="V42" s="9" t="s">
        <v>21</v>
      </c>
      <c r="W42" s="7"/>
      <c r="X42" s="7"/>
      <c r="Y42" s="7"/>
      <c r="Z42" s="7"/>
    </row>
    <row r="43">
      <c r="A43" s="7" t="str">
        <f>IFERROR(__xludf.DUMMYFUNCTION("""COMPUTED_VALUE"""),"TCM_dKosh_General_SMF1_029_000")</f>
        <v>TCM_dKosh_General_SMF1_029_000</v>
      </c>
      <c r="B43" s="7" t="str">
        <f>IFERROR(__xludf.DUMMYFUNCTION("""COMPUTED_VALUE"""),"TP_dKosh_General_SMF1_029")</f>
        <v>TP_dKosh_General_SMF1_029</v>
      </c>
      <c r="C43" s="7" t="str">
        <f>IFERROR(__xludf.DUMMYFUNCTION("""COMPUTED_VALUE"""),"")</f>
        <v/>
      </c>
      <c r="D43" s="7" t="str">
        <f>IFERROR(__xludf.DUMMYFUNCTION("""COMPUTED_VALUE"""),"")</f>
        <v/>
      </c>
      <c r="E43" s="7" t="str">
        <f>IFERROR(__xludf.DUMMYFUNCTION("""COMPUTED_VALUE"""),"Employee Group List")</f>
        <v>Employee Group List</v>
      </c>
      <c r="F43" s="7" t="str">
        <f>IFERROR(__xludf.DUMMYFUNCTION("""COMPUTED_VALUE"""),"M")</f>
        <v>M</v>
      </c>
      <c r="G43" s="7" t="str">
        <f>IFERROR(__xludf.DUMMYFUNCTION("""COMPUTED_VALUE"""),"Jaikishan")</f>
        <v>Jaikishan</v>
      </c>
      <c r="H43" s="7" t="str">
        <f>IFERROR(__xludf.DUMMYFUNCTION("""COMPUTED_VALUE"""),"Functional")</f>
        <v>Functional</v>
      </c>
      <c r="I43" s="7" t="str">
        <f>IFERROR(__xludf.DUMMYFUNCTION("""COMPUTED_VALUE"""),"1. Atleast one Employee Group should be there in list.")</f>
        <v>1. Atleast one Employee Group should be there in list.</v>
      </c>
      <c r="J43" s="7" t="str">
        <f>IFERROR(__xludf.DUMMYFUNCTION("""COMPUTED_VALUE"""),"Verify, Employee Group filter is working.")</f>
        <v>Verify, Employee Group filter is working.</v>
      </c>
      <c r="K43" s="7" t="str">
        <f>IFERROR(__xludf.DUMMYFUNCTION("""COMPUTED_VALUE"""),"1. Go  to 'Manage Employee Group' list.
2. Click on Filter icon.
3. Enter/select Employee Group value.
4. Click on 'Show Result' button.")</f>
        <v>1. Go  to 'Manage Employee Group' list.
2. Click on Filter icon.
3. Enter/select Employee Group value.
4. Click on 'Show Result' button.</v>
      </c>
      <c r="L43" s="7" t="str">
        <f>IFERROR(__xludf.DUMMYFUNCTION("""COMPUTED_VALUE"""),"Group of selected Employee Group should be displayed in list.")</f>
        <v>Group of selected Employee Group should be displayed in list.</v>
      </c>
      <c r="M43" s="7" t="str">
        <f>IFERROR(__xludf.DUMMYFUNCTION("""COMPUTED_VALUE"""),"")</f>
        <v/>
      </c>
      <c r="N43" s="7" t="str">
        <f>IFERROR(__xludf.DUMMYFUNCTION("""COMPUTED_VALUE"""),"Showing Exception")</f>
        <v>Showing Exception</v>
      </c>
      <c r="O43" s="7" t="str">
        <f>IFERROR(__xludf.DUMMYFUNCTION("""COMPUTED_VALUE"""),"Fail")</f>
        <v>Fail</v>
      </c>
      <c r="P43" s="7" t="str">
        <f>IFERROR(__xludf.DUMMYFUNCTION("""COMPUTED_VALUE"""),"Jaikishan")</f>
        <v>Jaikishan</v>
      </c>
      <c r="Q43" s="8">
        <f>IFERROR(__xludf.DUMMYFUNCTION("""COMPUTED_VALUE"""),43792.0)</f>
        <v>43792</v>
      </c>
      <c r="R43" s="7" t="str">
        <f>IFERROR(__xludf.DUMMYFUNCTION("""COMPUTED_VALUE"""),"")</f>
        <v/>
      </c>
      <c r="S43" s="7" t="str">
        <f>IFERROR(__xludf.DUMMYFUNCTION("""COMPUTED_VALUE"""),"")</f>
        <v/>
      </c>
      <c r="T43" s="9" t="s">
        <v>10</v>
      </c>
      <c r="U43" s="7"/>
      <c r="V43" s="9" t="s">
        <v>21</v>
      </c>
      <c r="W43" s="7"/>
      <c r="X43" s="7"/>
      <c r="Y43" s="7"/>
      <c r="Z43" s="7"/>
    </row>
    <row r="44">
      <c r="A44" s="7" t="str">
        <f>IFERROR(__xludf.DUMMYFUNCTION("""COMPUTED_VALUE"""),"TCM_dKosh_General_SMF1_029_000")</f>
        <v>TCM_dKosh_General_SMF1_029_000</v>
      </c>
      <c r="B44" s="7" t="str">
        <f>IFERROR(__xludf.DUMMYFUNCTION("""COMPUTED_VALUE"""),"TP_dKosh_General_SMF1_029")</f>
        <v>TP_dKosh_General_SMF1_029</v>
      </c>
      <c r="C44" s="7" t="str">
        <f>IFERROR(__xludf.DUMMYFUNCTION("""COMPUTED_VALUE"""),"")</f>
        <v/>
      </c>
      <c r="D44" s="7" t="str">
        <f>IFERROR(__xludf.DUMMYFUNCTION("""COMPUTED_VALUE"""),"")</f>
        <v/>
      </c>
      <c r="E44" s="7" t="str">
        <f>IFERROR(__xludf.DUMMYFUNCTION("""COMPUTED_VALUE"""),"Employee Group List")</f>
        <v>Employee Group List</v>
      </c>
      <c r="F44" s="7" t="str">
        <f>IFERROR(__xludf.DUMMYFUNCTION("""COMPUTED_VALUE"""),"M")</f>
        <v>M</v>
      </c>
      <c r="G44" s="7" t="str">
        <f>IFERROR(__xludf.DUMMYFUNCTION("""COMPUTED_VALUE"""),"Jaikishan")</f>
        <v>Jaikishan</v>
      </c>
      <c r="H44" s="7" t="str">
        <f>IFERROR(__xludf.DUMMYFUNCTION("""COMPUTED_VALUE"""),"Functional")</f>
        <v>Functional</v>
      </c>
      <c r="I44" s="7" t="str">
        <f>IFERROR(__xludf.DUMMYFUNCTION("""COMPUTED_VALUE"""),"1. Atleast one Employee Group should be there in list.")</f>
        <v>1. Atleast one Employee Group should be there in list.</v>
      </c>
      <c r="J44" s="7" t="str">
        <f>IFERROR(__xludf.DUMMYFUNCTION("""COMPUTED_VALUE"""),"Verify, Organisation filter is working.")</f>
        <v>Verify, Organisation filter is working.</v>
      </c>
      <c r="K44" s="7" t="str">
        <f>IFERROR(__xludf.DUMMYFUNCTION("""COMPUTED_VALUE"""),"1. Go  to 'Manage Employee Group' list.
2. Click on Filter icon.
3. Select 'Organisation'.
4. Click on 'Show Result' button.")</f>
        <v>1. Go  to 'Manage Employee Group' list.
2. Click on Filter icon.
3. Select 'Organisation'.
4. Click on 'Show Result' button.</v>
      </c>
      <c r="L44" s="7" t="str">
        <f>IFERROR(__xludf.DUMMYFUNCTION("""COMPUTED_VALUE"""),"Selected Organisation of Employee Group should be display on list.")</f>
        <v>Selected Organisation of Employee Group should be display on list.</v>
      </c>
      <c r="M44" s="7" t="str">
        <f>IFERROR(__xludf.DUMMYFUNCTION("""COMPUTED_VALUE"""),"")</f>
        <v/>
      </c>
      <c r="N44" s="7" t="str">
        <f>IFERROR(__xludf.DUMMYFUNCTION("""COMPUTED_VALUE"""),"Showing wrong data for organisation filter.")</f>
        <v>Showing wrong data for organisation filter.</v>
      </c>
      <c r="O44" s="7" t="str">
        <f>IFERROR(__xludf.DUMMYFUNCTION("""COMPUTED_VALUE"""),"Fail")</f>
        <v>Fail</v>
      </c>
      <c r="P44" s="7" t="str">
        <f>IFERROR(__xludf.DUMMYFUNCTION("""COMPUTED_VALUE"""),"Jaikishan")</f>
        <v>Jaikishan</v>
      </c>
      <c r="Q44" s="8">
        <f>IFERROR(__xludf.DUMMYFUNCTION("""COMPUTED_VALUE"""),43792.0)</f>
        <v>43792</v>
      </c>
      <c r="R44" s="7" t="str">
        <f>IFERROR(__xludf.DUMMYFUNCTION("""COMPUTED_VALUE"""),"")</f>
        <v/>
      </c>
      <c r="S44" s="7" t="str">
        <f>IFERROR(__xludf.DUMMYFUNCTION("""COMPUTED_VALUE"""),"")</f>
        <v/>
      </c>
      <c r="T44" s="9" t="s">
        <v>10</v>
      </c>
      <c r="U44" s="7"/>
      <c r="V44" s="9" t="s">
        <v>21</v>
      </c>
      <c r="W44" s="7"/>
      <c r="X44" s="7"/>
      <c r="Y44" s="7"/>
      <c r="Z44" s="7"/>
    </row>
    <row r="45">
      <c r="A45" s="7" t="str">
        <f>IFERROR(__xludf.DUMMYFUNCTION("""COMPUTED_VALUE"""),"TCM_dKosh_General_SMF1_029_000")</f>
        <v>TCM_dKosh_General_SMF1_029_000</v>
      </c>
      <c r="B45" s="7" t="str">
        <f>IFERROR(__xludf.DUMMYFUNCTION("""COMPUTED_VALUE"""),"TP_dKosh_General_SMF1_029")</f>
        <v>TP_dKosh_General_SMF1_029</v>
      </c>
      <c r="C45" s="7" t="str">
        <f>IFERROR(__xludf.DUMMYFUNCTION("""COMPUTED_VALUE"""),"")</f>
        <v/>
      </c>
      <c r="D45" s="7" t="str">
        <f>IFERROR(__xludf.DUMMYFUNCTION("""COMPUTED_VALUE"""),"")</f>
        <v/>
      </c>
      <c r="E45" s="7" t="str">
        <f>IFERROR(__xludf.DUMMYFUNCTION("""COMPUTED_VALUE"""),"Employee Group List")</f>
        <v>Employee Group List</v>
      </c>
      <c r="F45" s="7" t="str">
        <f>IFERROR(__xludf.DUMMYFUNCTION("""COMPUTED_VALUE"""),"M")</f>
        <v>M</v>
      </c>
      <c r="G45" s="7" t="str">
        <f>IFERROR(__xludf.DUMMYFUNCTION("""COMPUTED_VALUE"""),"Jaikishan")</f>
        <v>Jaikishan</v>
      </c>
      <c r="H45" s="7" t="str">
        <f>IFERROR(__xludf.DUMMYFUNCTION("""COMPUTED_VALUE"""),"Validation")</f>
        <v>Validation</v>
      </c>
      <c r="I45" s="7" t="str">
        <f>IFERROR(__xludf.DUMMYFUNCTION("""COMPUTED_VALUE"""),"1. Creator/Modifier has permission to modify Employee Group.
2. Employee Group should be editable(as per document status).")</f>
        <v>1. Creator/Modifier has permission to modify Employee Group.
2. Employee Group should be editable(as per document status).</v>
      </c>
      <c r="J45" s="7" t="str">
        <f>IFERROR(__xludf.DUMMYFUNCTION("""COMPUTED_VALUE"""),"Verify, Non-Mandatory field when user update form without data filled in non-mandatory field.")</f>
        <v>Verify, Non-Mandatory field when user update form without data filled in non-mandatory field.</v>
      </c>
      <c r="K45" s="7" t="str">
        <f>IFERROR(__xludf.DUMMYFUNCTION("""COMPUTED_VALUE"""),"1. Go to manage Employee Group list.
2. Click on List action
3. Click on settings
4. Change non-mandatory field data with blank.
5. Click on ""Save"" button")</f>
        <v>1. Go to manage Employee Group list.
2. Click on List action
3. Click on settings
4. Change non-mandatory field data with blank.
5. Click on "Save" button</v>
      </c>
      <c r="L45" s="7" t="str">
        <f>IFERROR(__xludf.DUMMYFUNCTION("""COMPUTED_VALUE"""),"On Save, Message ""Saved Successfully"" should be show.")</f>
        <v>On Save, Message "Saved Successfully" should be show.</v>
      </c>
      <c r="M45" s="7" t="str">
        <f>IFERROR(__xludf.DUMMYFUNCTION("""COMPUTED_VALUE"""),"")</f>
        <v/>
      </c>
      <c r="N45" s="7" t="str">
        <f>IFERROR(__xludf.DUMMYFUNCTION("""COMPUTED_VALUE"""),"On Save, Message is different from expected.")</f>
        <v>On Save, Message is different from expected.</v>
      </c>
      <c r="O45" s="7" t="str">
        <f>IFERROR(__xludf.DUMMYFUNCTION("""COMPUTED_VALUE"""),"Fail")</f>
        <v>Fail</v>
      </c>
      <c r="P45" s="7" t="str">
        <f>IFERROR(__xludf.DUMMYFUNCTION("""COMPUTED_VALUE"""),"Jaikishan
")</f>
        <v>Jaikishan
</v>
      </c>
      <c r="Q45" s="8" t="str">
        <f>IFERROR(__xludf.DUMMYFUNCTION("""COMPUTED_VALUE"""),"")</f>
        <v/>
      </c>
      <c r="R45" s="7" t="str">
        <f>IFERROR(__xludf.DUMMYFUNCTION("""COMPUTED_VALUE"""),"")</f>
        <v/>
      </c>
      <c r="S45" s="7" t="str">
        <f>IFERROR(__xludf.DUMMYFUNCTION("""COMPUTED_VALUE"""),"")</f>
        <v/>
      </c>
      <c r="T45" s="9" t="s">
        <v>10</v>
      </c>
      <c r="U45" s="7"/>
      <c r="V45" s="9" t="s">
        <v>59</v>
      </c>
      <c r="W45" s="9" t="s">
        <v>60</v>
      </c>
      <c r="X45" s="9" t="s">
        <v>10</v>
      </c>
      <c r="Y45" s="7"/>
      <c r="Z45" s="7"/>
    </row>
    <row r="46">
      <c r="A46" s="7" t="str">
        <f>IFERROR(__xludf.DUMMYFUNCTION("""COMPUTED_VALUE"""),"TCM_dKosh_General_SMF1_029_000")</f>
        <v>TCM_dKosh_General_SMF1_029_000</v>
      </c>
      <c r="B46" s="7" t="str">
        <f>IFERROR(__xludf.DUMMYFUNCTION("""COMPUTED_VALUE"""),"TP_dKosh_General_SMF1_029")</f>
        <v>TP_dKosh_General_SMF1_029</v>
      </c>
      <c r="C46" s="7" t="str">
        <f>IFERROR(__xludf.DUMMYFUNCTION("""COMPUTED_VALUE"""),"")</f>
        <v/>
      </c>
      <c r="D46" s="7" t="str">
        <f>IFERROR(__xludf.DUMMYFUNCTION("""COMPUTED_VALUE"""),"")</f>
        <v/>
      </c>
      <c r="E46" s="7" t="str">
        <f>IFERROR(__xludf.DUMMYFUNCTION("""COMPUTED_VALUE"""),"Employee Group List")</f>
        <v>Employee Group List</v>
      </c>
      <c r="F46" s="7" t="str">
        <f>IFERROR(__xludf.DUMMYFUNCTION("""COMPUTED_VALUE"""),"M")</f>
        <v>M</v>
      </c>
      <c r="G46" s="7" t="str">
        <f>IFERROR(__xludf.DUMMYFUNCTION("""COMPUTED_VALUE"""),"Jaikishan")</f>
        <v>Jaikishan</v>
      </c>
      <c r="H46" s="7" t="str">
        <f>IFERROR(__xludf.DUMMYFUNCTION("""COMPUTED_VALUE"""),"UI")</f>
        <v>UI</v>
      </c>
      <c r="I46" s="7" t="str">
        <f>IFERROR(__xludf.DUMMYFUNCTION("""COMPUTED_VALUE"""),"1. Creator/Modifier has permission to Delete Employee Group.
")</f>
        <v>1. Creator/Modifier has permission to Delete Employee Group.
</v>
      </c>
      <c r="J46" s="7" t="str">
        <f>IFERROR(__xludf.DUMMYFUNCTION("""COMPUTED_VALUE"""),"Verify, 'Delete' Caption,Pop up, Text, button when click on delete button.")</f>
        <v>Verify, 'Delete' Caption,Pop up, Text, button when click on delete button.</v>
      </c>
      <c r="K46" s="7" t="str">
        <f>IFERROR(__xludf.DUMMYFUNCTION("""COMPUTED_VALUE"""),"1. Go to Manage Employee Group list.
2. Click on List action
3. Click on delete
")</f>
        <v>1. Go to Manage Employee Group list.
2. Click on List action
3. Click on delete
</v>
      </c>
      <c r="L46" s="7" t="str">
        <f>IFERROR(__xludf.DUMMYFUNCTION("""COMPUTED_VALUE"""),"1. Confrmation pop up should be open.
2. Text : Are you sure you want to delete /%employee group name%/ ?
3. Ok button on right side
4. Cancel button on left side.")</f>
        <v>1. Confrmation pop up should be open.
2. Text : Are you sure you want to delete /%employee group name%/ ?
3. Ok button on right side
4. Cancel button on left side.</v>
      </c>
      <c r="M46" s="7" t="str">
        <f>IFERROR(__xludf.DUMMYFUNCTION("""COMPUTED_VALUE"""),"")</f>
        <v/>
      </c>
      <c r="N46" s="7" t="str">
        <f>IFERROR(__xludf.DUMMYFUNCTION("""COMPUTED_VALUE"""),"Text is different from standard sheet.")</f>
        <v>Text is different from standard sheet.</v>
      </c>
      <c r="O46" s="7" t="str">
        <f>IFERROR(__xludf.DUMMYFUNCTION("""COMPUTED_VALUE"""),"Fail")</f>
        <v>Fail</v>
      </c>
      <c r="P46" s="7" t="str">
        <f>IFERROR(__xludf.DUMMYFUNCTION("""COMPUTED_VALUE"""),"Jaikishan
")</f>
        <v>Jaikishan
</v>
      </c>
      <c r="Q46" s="8" t="str">
        <f>IFERROR(__xludf.DUMMYFUNCTION("""COMPUTED_VALUE"""),"")</f>
        <v/>
      </c>
      <c r="R46" s="7" t="str">
        <f>IFERROR(__xludf.DUMMYFUNCTION("""COMPUTED_VALUE"""),"")</f>
        <v/>
      </c>
      <c r="S46" s="7" t="str">
        <f>IFERROR(__xludf.DUMMYFUNCTION("""COMPUTED_VALUE"""),"")</f>
        <v/>
      </c>
      <c r="T46" s="9" t="s">
        <v>10</v>
      </c>
      <c r="U46" s="7"/>
      <c r="V46" s="9" t="s">
        <v>15</v>
      </c>
      <c r="W46" s="9" t="s">
        <v>61</v>
      </c>
      <c r="X46" s="7"/>
      <c r="Y46" s="7"/>
      <c r="Z46" s="7"/>
    </row>
    <row r="47">
      <c r="A47" s="7" t="str">
        <f>IFERROR(__xludf.DUMMYFUNCTION("""COMPUTED_VALUE"""),"TCM_dKosh_General_SMF1_029_000")</f>
        <v>TCM_dKosh_General_SMF1_029_000</v>
      </c>
      <c r="B47" s="7" t="str">
        <f>IFERROR(__xludf.DUMMYFUNCTION("""COMPUTED_VALUE"""),"TP_dKosh_General_SMF1_029")</f>
        <v>TP_dKosh_General_SMF1_029</v>
      </c>
      <c r="C47" s="7" t="str">
        <f>IFERROR(__xludf.DUMMYFUNCTION("""COMPUTED_VALUE"""),"")</f>
        <v/>
      </c>
      <c r="D47" s="7" t="str">
        <f>IFERROR(__xludf.DUMMYFUNCTION("""COMPUTED_VALUE"""),"")</f>
        <v/>
      </c>
      <c r="E47" s="7" t="str">
        <f>IFERROR(__xludf.DUMMYFUNCTION("""COMPUTED_VALUE"""),"Employee Group List")</f>
        <v>Employee Group List</v>
      </c>
      <c r="F47" s="7" t="str">
        <f>IFERROR(__xludf.DUMMYFUNCTION("""COMPUTED_VALUE"""),"M")</f>
        <v>M</v>
      </c>
      <c r="G47" s="7" t="str">
        <f>IFERROR(__xludf.DUMMYFUNCTION("""COMPUTED_VALUE"""),"Jaikishan")</f>
        <v>Jaikishan</v>
      </c>
      <c r="H47" s="7" t="str">
        <f>IFERROR(__xludf.DUMMYFUNCTION("""COMPUTED_VALUE"""),"Functional")</f>
        <v>Functional</v>
      </c>
      <c r="I47" s="7" t="str">
        <f>IFERROR(__xludf.DUMMYFUNCTION("""COMPUTED_VALUE"""),"1. Creator/Modifier has permission to Delete Employee Group.
")</f>
        <v>1. Creator/Modifier has permission to Delete Employee Group.
</v>
      </c>
      <c r="J47" s="7" t="str">
        <f>IFERROR(__xludf.DUMMYFUNCTION("""COMPUTED_VALUE"""),"Verify, acknowledge message after deleting form.")</f>
        <v>Verify, acknowledge message after deleting form.</v>
      </c>
      <c r="K47" s="7" t="str">
        <f>IFERROR(__xludf.DUMMYFUNCTION("""COMPUTED_VALUE"""),"1. Go to Manage Employee Group list.
2. Click on action icon.
3. Click on 'Delete'.
4. Click on ""Ok""")</f>
        <v>1. Go to Manage Employee Group list.
2. Click on action icon.
3. Click on 'Delete'.
4. Click on "Ok"</v>
      </c>
      <c r="L47" s="7" t="str">
        <f>IFERROR(__xludf.DUMMYFUNCTION("""COMPUTED_VALUE"""),"Form should be deleted with acknowledge message like 'Employee Group has been deleted successfully.'")</f>
        <v>Form should be deleted with acknowledge message like 'Employee Group has been deleted successfully.'</v>
      </c>
      <c r="M47" s="7" t="str">
        <f>IFERROR(__xludf.DUMMYFUNCTION("""COMPUTED_VALUE"""),"")</f>
        <v/>
      </c>
      <c r="N47" s="7" t="str">
        <f>IFERROR(__xludf.DUMMYFUNCTION("""COMPUTED_VALUE"""),"Message is different.")</f>
        <v>Message is different.</v>
      </c>
      <c r="O47" s="7" t="str">
        <f>IFERROR(__xludf.DUMMYFUNCTION("""COMPUTED_VALUE"""),"Fail")</f>
        <v>Fail</v>
      </c>
      <c r="P47" s="7" t="str">
        <f>IFERROR(__xludf.DUMMYFUNCTION("""COMPUTED_VALUE"""),"Jaikishan
")</f>
        <v>Jaikishan
</v>
      </c>
      <c r="Q47" s="8" t="str">
        <f>IFERROR(__xludf.DUMMYFUNCTION("""COMPUTED_VALUE"""),"")</f>
        <v/>
      </c>
      <c r="R47" s="7" t="str">
        <f>IFERROR(__xludf.DUMMYFUNCTION("""COMPUTED_VALUE"""),"")</f>
        <v/>
      </c>
      <c r="S47" s="7" t="str">
        <f>IFERROR(__xludf.DUMMYFUNCTION("""COMPUTED_VALUE"""),"")</f>
        <v/>
      </c>
      <c r="T47" s="9" t="s">
        <v>10</v>
      </c>
      <c r="U47" s="7"/>
      <c r="V47" s="9" t="s">
        <v>21</v>
      </c>
      <c r="W47" s="9"/>
      <c r="X47" s="7"/>
      <c r="Y47" s="7"/>
      <c r="Z47" s="7"/>
    </row>
    <row r="48">
      <c r="A48" s="7" t="str">
        <f>IFERROR(__xludf.DUMMYFUNCTION("""COMPUTED_VALUE"""),"TCM_dKosh_General_SMF1_029_000")</f>
        <v>TCM_dKosh_General_SMF1_029_000</v>
      </c>
      <c r="B48" s="7" t="str">
        <f>IFERROR(__xludf.DUMMYFUNCTION("""COMPUTED_VALUE"""),"TP_dKosh_General_SMF1_029")</f>
        <v>TP_dKosh_General_SMF1_029</v>
      </c>
      <c r="C48" s="7" t="str">
        <f>IFERROR(__xludf.DUMMYFUNCTION("""COMPUTED_VALUE"""),"")</f>
        <v/>
      </c>
      <c r="D48" s="7" t="str">
        <f>IFERROR(__xludf.DUMMYFUNCTION("""COMPUTED_VALUE"""),"")</f>
        <v/>
      </c>
      <c r="E48" s="7" t="str">
        <f>IFERROR(__xludf.DUMMYFUNCTION("""COMPUTED_VALUE"""),"Employee Group List")</f>
        <v>Employee Group List</v>
      </c>
      <c r="F48" s="7" t="str">
        <f>IFERROR(__xludf.DUMMYFUNCTION("""COMPUTED_VALUE"""),"M")</f>
        <v>M</v>
      </c>
      <c r="G48" s="7" t="str">
        <f>IFERROR(__xludf.DUMMYFUNCTION("""COMPUTED_VALUE"""),"Jaikishan")</f>
        <v>Jaikishan</v>
      </c>
      <c r="H48" s="7" t="str">
        <f>IFERROR(__xludf.DUMMYFUNCTION("""COMPUTED_VALUE"""),"Functional")</f>
        <v>Functional</v>
      </c>
      <c r="I48" s="7" t="str">
        <f>IFERROR(__xludf.DUMMYFUNCTION("""COMPUTED_VALUE"""),"1. Atleast one Employee Group should be there in list.")</f>
        <v>1. Atleast one Employee Group should be there in list.</v>
      </c>
      <c r="J48" s="7" t="str">
        <f>IFERROR(__xludf.DUMMYFUNCTION("""COMPUTED_VALUE"""),"Verify,post action when click on ""Mark Unavailable"" ")</f>
        <v>Verify,post action when click on "Mark Unavailable" </v>
      </c>
      <c r="K48" s="7" t="str">
        <f>IFERROR(__xludf.DUMMYFUNCTION("""COMPUTED_VALUE"""),"1. Go to Manage Employee Group list.
2. Click on list action
3. Click on ""Mark Unavailable""")</f>
        <v>1. Go to Manage Employee Group list.
2. Click on list action
3. Click on "Mark Unavailable"</v>
      </c>
      <c r="L48" s="7" t="str">
        <f>IFERROR(__xludf.DUMMYFUNCTION("""COMPUTED_VALUE"""),"1. Employee Group should be move to Unavailable category.
2. Employee group should not show in Manage Respondent list.
")</f>
        <v>1. Employee Group should be move to Unavailable category.
2. Employee group should not show in Manage Respondent list.
</v>
      </c>
      <c r="M48" s="7" t="str">
        <f>IFERROR(__xludf.DUMMYFUNCTION("""COMPUTED_VALUE"""),"Spelling")</f>
        <v>Spelling</v>
      </c>
      <c r="N48" s="7" t="str">
        <f>IFERROR(__xludf.DUMMYFUNCTION("""COMPUTED_VALUE"""),"1. Message ""Employee Group has been marke successfully."" is wrong.
2. Unavailable employee group also showing in respondent list.")</f>
        <v>1. Message "Employee Group has been marke successfully." is wrong.
2. Unavailable employee group also showing in respondent list.</v>
      </c>
      <c r="O48" s="7" t="str">
        <f>IFERROR(__xludf.DUMMYFUNCTION("""COMPUTED_VALUE"""),"Fail")</f>
        <v>Fail</v>
      </c>
      <c r="P48" s="7" t="str">
        <f>IFERROR(__xludf.DUMMYFUNCTION("""COMPUTED_VALUE"""),"Jaikishan
")</f>
        <v>Jaikishan
</v>
      </c>
      <c r="Q48" s="8" t="str">
        <f>IFERROR(__xludf.DUMMYFUNCTION("""COMPUTED_VALUE"""),"")</f>
        <v/>
      </c>
      <c r="R48" s="7" t="str">
        <f>IFERROR(__xludf.DUMMYFUNCTION("""COMPUTED_VALUE"""),"")</f>
        <v/>
      </c>
      <c r="S48" s="7" t="str">
        <f>IFERROR(__xludf.DUMMYFUNCTION("""COMPUTED_VALUE"""),"")</f>
        <v/>
      </c>
      <c r="T48" s="9" t="s">
        <v>10</v>
      </c>
      <c r="U48" s="7"/>
      <c r="V48" s="9" t="s">
        <v>21</v>
      </c>
      <c r="W48" s="7"/>
      <c r="X48" s="7"/>
      <c r="Y48" s="7"/>
      <c r="Z48" s="7"/>
    </row>
    <row r="49">
      <c r="A49" s="7" t="str">
        <f>IFERROR(__xludf.DUMMYFUNCTION("""COMPUTED_VALUE"""),"TCM_dKosh_General_SMF1_029_000")</f>
        <v>TCM_dKosh_General_SMF1_029_000</v>
      </c>
      <c r="B49" s="7" t="str">
        <f>IFERROR(__xludf.DUMMYFUNCTION("""COMPUTED_VALUE"""),"TP_dKosh_General_SMF1_029")</f>
        <v>TP_dKosh_General_SMF1_029</v>
      </c>
      <c r="C49" s="7" t="str">
        <f>IFERROR(__xludf.DUMMYFUNCTION("""COMPUTED_VALUE"""),"")</f>
        <v/>
      </c>
      <c r="D49" s="7" t="str">
        <f>IFERROR(__xludf.DUMMYFUNCTION("""COMPUTED_VALUE"""),"")</f>
        <v/>
      </c>
      <c r="E49" s="7" t="str">
        <f>IFERROR(__xludf.DUMMYFUNCTION("""COMPUTED_VALUE"""),"Employee Group List")</f>
        <v>Employee Group List</v>
      </c>
      <c r="F49" s="7" t="str">
        <f>IFERROR(__xludf.DUMMYFUNCTION("""COMPUTED_VALUE"""),"M")</f>
        <v>M</v>
      </c>
      <c r="G49" s="7" t="str">
        <f>IFERROR(__xludf.DUMMYFUNCTION("""COMPUTED_VALUE"""),"Jaikishan")</f>
        <v>Jaikishan</v>
      </c>
      <c r="H49" s="7" t="str">
        <f>IFERROR(__xludf.DUMMYFUNCTION("""COMPUTED_VALUE"""),"Functional")</f>
        <v>Functional</v>
      </c>
      <c r="I49" s="7" t="str">
        <f>IFERROR(__xludf.DUMMYFUNCTION("""COMPUTED_VALUE"""),"1. Atleast one Employee Group should be there in list.")</f>
        <v>1. Atleast one Employee Group should be there in list.</v>
      </c>
      <c r="J49" s="7" t="str">
        <f>IFERROR(__xludf.DUMMYFUNCTION("""COMPUTED_VALUE"""),"Verify,post action when click on ""Mark available"" ")</f>
        <v>Verify,post action when click on "Mark available" </v>
      </c>
      <c r="K49" s="7" t="str">
        <f>IFERROR(__xludf.DUMMYFUNCTION("""COMPUTED_VALUE"""),"1. Go to Manage Employee Group list.
2. Select filter ""Available"" as ""No""
3. Click on ""show"" button
2. Click on list action
3. Click on ""Mark available""")</f>
        <v>1. Go to Manage Employee Group list.
2. Select filter "Available" as "No"
3. Click on "show" button
2. Click on list action
3. Click on "Mark available"</v>
      </c>
      <c r="L49" s="7" t="str">
        <f>IFERROR(__xludf.DUMMYFUNCTION("""COMPUTED_VALUE"""),"1. All Unavailable Group should be show in list when set ""Available"" filter as ""No""
2. Employee group should be move to available category.
3. Employee group should show in Manage Respondent list.")</f>
        <v>1. All Unavailable Group should be show in list when set "Available" filter as "No"
2. Employee group should be move to available category.
3. Employee group should show in Manage Respondent list.</v>
      </c>
      <c r="M49" s="7" t="str">
        <f>IFERROR(__xludf.DUMMYFUNCTION("""COMPUTED_VALUE"""),"")</f>
        <v/>
      </c>
      <c r="N49" s="7" t="str">
        <f>IFERROR(__xludf.DUMMYFUNCTION("""COMPUTED_VALUE"""),"1. Message ""Employee Group has been marke successfully."" is wrong.
")</f>
        <v>1. Message "Employee Group has been marke successfully." is wrong.
</v>
      </c>
      <c r="O49" s="7" t="str">
        <f>IFERROR(__xludf.DUMMYFUNCTION("""COMPUTED_VALUE"""),"Fail")</f>
        <v>Fail</v>
      </c>
      <c r="P49" s="7" t="str">
        <f>IFERROR(__xludf.DUMMYFUNCTION("""COMPUTED_VALUE"""),"Jaikishan
")</f>
        <v>Jaikishan
</v>
      </c>
      <c r="Q49" s="8" t="str">
        <f>IFERROR(__xludf.DUMMYFUNCTION("""COMPUTED_VALUE"""),"")</f>
        <v/>
      </c>
      <c r="R49" s="7" t="str">
        <f>IFERROR(__xludf.DUMMYFUNCTION("""COMPUTED_VALUE"""),"")</f>
        <v/>
      </c>
      <c r="S49" s="7" t="str">
        <f>IFERROR(__xludf.DUMMYFUNCTION("""COMPUTED_VALUE"""),"")</f>
        <v/>
      </c>
      <c r="T49" s="9" t="s">
        <v>10</v>
      </c>
      <c r="U49" s="7"/>
      <c r="V49" s="15" t="s">
        <v>21</v>
      </c>
      <c r="W49" s="9" t="s">
        <v>62</v>
      </c>
      <c r="X49" s="9"/>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hidden="1" min="1" max="1" width="26.43"/>
    <col hidden="1" min="2" max="2" width="14.43"/>
    <col customWidth="1" hidden="1" min="3" max="3" width="7.71"/>
    <col customWidth="1" hidden="1" min="4" max="4" width="13.0"/>
    <col customWidth="1" hidden="1" min="5" max="5" width="17.71"/>
    <col customWidth="1" hidden="1" min="6" max="6" width="21.0"/>
    <col customWidth="1" hidden="1" min="7" max="7" width="10.0"/>
    <col customWidth="1" hidden="1" min="8" max="8" width="12.86"/>
    <col customWidth="1" hidden="1" min="9" max="9" width="12.43"/>
    <col customWidth="1" hidden="1" min="10" max="10" width="27.86"/>
    <col customWidth="1" min="11" max="11" width="33.86"/>
    <col customWidth="1" hidden="1" min="12" max="12" width="31.29"/>
    <col customWidth="1" min="13" max="13" width="29.86"/>
    <col customWidth="1" min="14" max="14" width="20.29"/>
    <col customWidth="1" min="15" max="15" width="29.71"/>
    <col hidden="1" min="17" max="19" width="14.43"/>
    <col customWidth="1" min="23" max="23" width="17.14"/>
  </cols>
  <sheetData>
    <row r="1">
      <c r="A1" s="1" t="str">
        <f>IFERROR(__xludf.DUMMYFUNCTION("Query(IMPORTRANGE(""https://docs.google.com/spreadsheets/d/1jEbAG0bEllXTKAGJlqI8FhpDdA5pI2ez4m_dRKlp78w/edit#gid=355221134"", ""TC - Manage Respondent!A:S""), ""select* where Col16= 'Fail' OR Col16= '?'"")"),"Test Case ID")</f>
        <v>Test Case ID</v>
      </c>
      <c r="B1" s="2" t="str">
        <f>IFERROR(__xludf.DUMMYFUNCTION("""COMPUTED_VALUE"""),"Test Plan ID")</f>
        <v>Test Plan ID</v>
      </c>
      <c r="C1" s="2" t="str">
        <f>IFERROR(__xludf.DUMMYFUNCTION("""COMPUTED_VALUE"""),"TC #")</f>
        <v>TC #</v>
      </c>
      <c r="D1" s="2" t="str">
        <f>IFERROR(__xludf.DUMMYFUNCTION("""COMPUTED_VALUE"""),"Platform")</f>
        <v>Platform</v>
      </c>
      <c r="E1" s="2" t="str">
        <f>IFERROR(__xludf.DUMMYFUNCTION("""COMPUTED_VALUE"""),"Sub Module Features")</f>
        <v>Sub Module Features</v>
      </c>
      <c r="F1" s="2" t="str">
        <f>IFERROR(__xludf.DUMMYFUNCTION("""COMPUTED_VALUE"""),"Action")</f>
        <v>Action</v>
      </c>
      <c r="G1" s="2" t="str">
        <f>IFERROR(__xludf.DUMMYFUNCTION("""COMPUTED_VALUE"""),"Test Mode")</f>
        <v>Test Mode</v>
      </c>
      <c r="H1" s="2" t="str">
        <f>IFERROR(__xludf.DUMMYFUNCTION("""COMPUTED_VALUE"""),"Created By")</f>
        <v>Created By</v>
      </c>
      <c r="I1" s="2" t="str">
        <f>IFERROR(__xludf.DUMMYFUNCTION("""COMPUTED_VALUE"""),"Test Case Type")</f>
        <v>Test Case Type</v>
      </c>
      <c r="J1" s="2" t="str">
        <f>IFERROR(__xludf.DUMMYFUNCTION("""COMPUTED_VALUE"""),"Pre Condition")</f>
        <v>Pre Condition</v>
      </c>
      <c r="K1" s="2" t="str">
        <f>IFERROR(__xludf.DUMMYFUNCTION("""COMPUTED_VALUE"""),"Test Case Description")</f>
        <v>Test Case Description</v>
      </c>
      <c r="L1" s="2" t="str">
        <f>IFERROR(__xludf.DUMMYFUNCTION("""COMPUTED_VALUE"""),"Steps")</f>
        <v>Steps</v>
      </c>
      <c r="M1" s="2" t="str">
        <f>IFERROR(__xludf.DUMMYFUNCTION("""COMPUTED_VALUE"""),"Expected Result")</f>
        <v>Expected Result</v>
      </c>
      <c r="N1" s="2" t="str">
        <f>IFERROR(__xludf.DUMMYFUNCTION("""COMPUTED_VALUE"""),"Conditions / Formula / Query")</f>
        <v>Conditions / Formula / Query</v>
      </c>
      <c r="O1" s="2" t="str">
        <f>IFERROR(__xludf.DUMMYFUNCTION("""COMPUTED_VALUE"""),"Actual Result")</f>
        <v>Actual Result</v>
      </c>
      <c r="P1" s="2" t="str">
        <f>IFERROR(__xludf.DUMMYFUNCTION("""COMPUTED_VALUE"""),"Pass/Fail")</f>
        <v>Pass/Fail</v>
      </c>
      <c r="Q1" s="2" t="str">
        <f>IFERROR(__xludf.DUMMYFUNCTION("""COMPUTED_VALUE"""),"Executed By")</f>
        <v>Executed By</v>
      </c>
      <c r="R1" s="2" t="str">
        <f>IFERROR(__xludf.DUMMYFUNCTION("""COMPUTED_VALUE"""),"Date Execution")</f>
        <v>Date Execution</v>
      </c>
      <c r="S1" s="2" t="str">
        <f>IFERROR(__xludf.DUMMYFUNCTION("""COMPUTED_VALUE"""),"Release")</f>
        <v>Release</v>
      </c>
      <c r="T1" s="5" t="s">
        <v>0</v>
      </c>
      <c r="U1" s="5" t="s">
        <v>1</v>
      </c>
      <c r="V1" s="14" t="s">
        <v>19</v>
      </c>
      <c r="W1" s="14" t="s">
        <v>20</v>
      </c>
      <c r="X1" s="7"/>
      <c r="Y1" s="7"/>
      <c r="Z1" s="7"/>
    </row>
    <row r="2">
      <c r="A2" s="7" t="str">
        <f>IFERROR(__xludf.DUMMYFUNCTION("""COMPUTED_VALUE"""),"TCM_dKosh_General_SMF1_022_003")</f>
        <v>TCM_dKosh_General_SMF1_022_003</v>
      </c>
      <c r="B2" s="7" t="str">
        <f>IFERROR(__xludf.DUMMYFUNCTION("""COMPUTED_VALUE"""),"TP_dKosh_General_SMF1_022")</f>
        <v>TP_dKosh_General_SMF1_022</v>
      </c>
      <c r="C2" s="7">
        <f>IFERROR(__xludf.DUMMYFUNCTION("""COMPUTED_VALUE"""),3.0)</f>
        <v>3</v>
      </c>
      <c r="D2" s="7" t="str">
        <f>IFERROR(__xludf.DUMMYFUNCTION("""COMPUTED_VALUE"""),"")</f>
        <v/>
      </c>
      <c r="E2" s="7" t="str">
        <f>IFERROR(__xludf.DUMMYFUNCTION("""COMPUTED_VALUE"""),"Manage Respondent")</f>
        <v>Manage Respondent</v>
      </c>
      <c r="F2" s="7" t="str">
        <f>IFERROR(__xludf.DUMMYFUNCTION("""COMPUTED_VALUE"""),"Manage Respondent List")</f>
        <v>Manage Respondent List</v>
      </c>
      <c r="G2" s="7" t="str">
        <f>IFERROR(__xludf.DUMMYFUNCTION("""COMPUTED_VALUE"""),"M")</f>
        <v>M</v>
      </c>
      <c r="H2" s="7" t="str">
        <f>IFERROR(__xludf.DUMMYFUNCTION("""COMPUTED_VALUE"""),"Jaikishan")</f>
        <v>Jaikishan</v>
      </c>
      <c r="I2" s="7" t="str">
        <f>IFERROR(__xludf.DUMMYFUNCTION("""COMPUTED_VALUE"""),"UI")</f>
        <v>UI</v>
      </c>
      <c r="J2" s="7" t="str">
        <f>IFERROR(__xludf.DUMMYFUNCTION("""COMPUTED_VALUE"""),"1. Form must be created.
2. User has permission of 'View Manage Respondent List'.")</f>
        <v>1. Form must be created.
2. User has permission of 'View Manage Respondent List'.</v>
      </c>
      <c r="K2" s="7" t="str">
        <f>IFERROR(__xludf.DUMMYFUNCTION("""COMPUTED_VALUE"""),"Verify, Table structure is changing for empty or Non-empty data. ")</f>
        <v>Verify, Table structure is changing for empty or Non-empty data. </v>
      </c>
      <c r="L2" s="7" t="str">
        <f>IFERROR(__xludf.DUMMYFUNCTION("""COMPUTED_VALUE"""),"1. Go  to 'Manage Respondent' list.
2. Check for empty Table &amp; For non-empty table")</f>
        <v>1. Go  to 'Manage Respondent' list.
2. Check for empty Table &amp; For non-empty table</v>
      </c>
      <c r="M2" s="7" t="str">
        <f>IFERROR(__xludf.DUMMYFUNCTION("""COMPUTED_VALUE"""),"Table structure should be same for empty and Non-Empty table.
")</f>
        <v>Table structure should be same for empty and Non-Empty table.
</v>
      </c>
      <c r="N2" s="7" t="str">
        <f>IFERROR(__xludf.DUMMYFUNCTION("""COMPUTED_VALUE"""),"")</f>
        <v/>
      </c>
      <c r="O2" s="7" t="str">
        <f>IFERROR(__xludf.DUMMYFUNCTION("""COMPUTED_VALUE"""),"Table structure changes for Empty and non empty data.")</f>
        <v>Table structure changes for Empty and non empty data.</v>
      </c>
      <c r="P2" s="7" t="str">
        <f>IFERROR(__xludf.DUMMYFUNCTION("""COMPUTED_VALUE"""),"Fail")</f>
        <v>Fail</v>
      </c>
      <c r="Q2" s="7" t="str">
        <f>IFERROR(__xludf.DUMMYFUNCTION("""COMPUTED_VALUE"""),"Jaikishan")</f>
        <v>Jaikishan</v>
      </c>
      <c r="R2" s="8">
        <f>IFERROR(__xludf.DUMMYFUNCTION("""COMPUTED_VALUE"""),43791.0)</f>
        <v>43791</v>
      </c>
      <c r="S2" s="7" t="str">
        <f>IFERROR(__xludf.DUMMYFUNCTION("""COMPUTED_VALUE"""),"TR2019_W47")</f>
        <v>TR2019_W47</v>
      </c>
      <c r="T2" s="7"/>
      <c r="U2" s="9" t="s">
        <v>37</v>
      </c>
      <c r="V2" s="7"/>
      <c r="W2" s="7"/>
      <c r="X2" s="7"/>
      <c r="Y2" s="7"/>
      <c r="Z2" s="7"/>
    </row>
    <row r="3">
      <c r="A3" s="7" t="str">
        <f>IFERROR(__xludf.DUMMYFUNCTION("""COMPUTED_VALUE"""),"TCM_dKosh_General_SMF1_022_004")</f>
        <v>TCM_dKosh_General_SMF1_022_004</v>
      </c>
      <c r="B3" s="7" t="str">
        <f>IFERROR(__xludf.DUMMYFUNCTION("""COMPUTED_VALUE"""),"TP_dKosh_General_SMF1_022")</f>
        <v>TP_dKosh_General_SMF1_022</v>
      </c>
      <c r="C3" s="7">
        <f>IFERROR(__xludf.DUMMYFUNCTION("""COMPUTED_VALUE"""),4.0)</f>
        <v>4</v>
      </c>
      <c r="D3" s="7" t="str">
        <f>IFERROR(__xludf.DUMMYFUNCTION("""COMPUTED_VALUE"""),"")</f>
        <v/>
      </c>
      <c r="E3" s="7" t="str">
        <f>IFERROR(__xludf.DUMMYFUNCTION("""COMPUTED_VALUE"""),"Manage Respondent")</f>
        <v>Manage Respondent</v>
      </c>
      <c r="F3" s="7" t="str">
        <f>IFERROR(__xludf.DUMMYFUNCTION("""COMPUTED_VALUE"""),"Manage Respondent List")</f>
        <v>Manage Respondent List</v>
      </c>
      <c r="G3" s="7" t="str">
        <f>IFERROR(__xludf.DUMMYFUNCTION("""COMPUTED_VALUE"""),"M")</f>
        <v>M</v>
      </c>
      <c r="H3" s="7" t="str">
        <f>IFERROR(__xludf.DUMMYFUNCTION("""COMPUTED_VALUE"""),"Jaikishan")</f>
        <v>Jaikishan</v>
      </c>
      <c r="I3" s="7" t="str">
        <f>IFERROR(__xludf.DUMMYFUNCTION("""COMPUTED_VALUE"""),"UI")</f>
        <v>UI</v>
      </c>
      <c r="J3" s="7" t="str">
        <f>IFERROR(__xludf.DUMMYFUNCTION("""COMPUTED_VALUE"""),"1. Form must be created.
2. User has permission of 'View Manage Respondent List'.")</f>
        <v>1. Form must be created.
2. User has permission of 'View Manage Respondent List'.</v>
      </c>
      <c r="K3" s="7" t="str">
        <f>IFERROR(__xludf.DUMMYFUNCTION("""COMPUTED_VALUE"""),"Verify, Columns to be displayed in list.")</f>
        <v>Verify, Columns to be displayed in list.</v>
      </c>
      <c r="L3" s="7" t="str">
        <f>IFERROR(__xludf.DUMMYFUNCTION("""COMPUTED_VALUE"""),"1. Go  to 'Manage Form' list.
2. Click on List action.
3. Click on ""Manage Respondent""
4. Check Column displaying on list")</f>
        <v>1. Go  to 'Manage Form' list.
2. Click on List action.
3. Click on "Manage Respondent"
4. Check Column displaying on list</v>
      </c>
      <c r="M3" s="7" t="str">
        <f>IFERROR(__xludf.DUMMYFUNCTION("""COMPUTED_VALUE"""),"
0. Select all
1. S.No.
2. Respondent Set 
3. Available From
4. Available Upto
5. Edit Response
6. Verify Response 
7. Approve Response
Total column = 8")</f>
        <v>
0. Select all
1. S.No.
2. Respondent Set 
3. Available From
4. Available Upto
5. Edit Response
6. Verify Response 
7. Approve Response
Total column = 8</v>
      </c>
      <c r="N3" s="7" t="str">
        <f>IFERROR(__xludf.DUMMYFUNCTION("""COMPUTED_VALUE"""),"")</f>
        <v/>
      </c>
      <c r="O3" s="7" t="str">
        <f>IFERROR(__xludf.DUMMYFUNCTION("""COMPUTED_VALUE"""),"7 Column is displaying")</f>
        <v>7 Column is displaying</v>
      </c>
      <c r="P3" s="7" t="str">
        <f>IFERROR(__xludf.DUMMYFUNCTION("""COMPUTED_VALUE"""),"Fail")</f>
        <v>Fail</v>
      </c>
      <c r="Q3" s="7" t="str">
        <f>IFERROR(__xludf.DUMMYFUNCTION("""COMPUTED_VALUE"""),"Jaikishan")</f>
        <v>Jaikishan</v>
      </c>
      <c r="R3" s="8">
        <f>IFERROR(__xludf.DUMMYFUNCTION("""COMPUTED_VALUE"""),43791.0)</f>
        <v>43791</v>
      </c>
      <c r="S3" s="7" t="str">
        <f>IFERROR(__xludf.DUMMYFUNCTION("""COMPUTED_VALUE"""),"TR2019_W47")</f>
        <v>TR2019_W47</v>
      </c>
      <c r="T3" s="9" t="s">
        <v>10</v>
      </c>
      <c r="U3" s="7"/>
      <c r="V3" s="9" t="s">
        <v>39</v>
      </c>
      <c r="W3" s="9" t="s">
        <v>40</v>
      </c>
      <c r="X3" s="7"/>
      <c r="Y3" s="7"/>
      <c r="Z3" s="7"/>
    </row>
    <row r="4">
      <c r="A4" s="7" t="str">
        <f>IFERROR(__xludf.DUMMYFUNCTION("""COMPUTED_VALUE"""),"TCM_dKosh_General_SMF1_022_006")</f>
        <v>TCM_dKosh_General_SMF1_022_006</v>
      </c>
      <c r="B4" s="7" t="str">
        <f>IFERROR(__xludf.DUMMYFUNCTION("""COMPUTED_VALUE"""),"TP_dKosh_General_SMF1_022")</f>
        <v>TP_dKosh_General_SMF1_022</v>
      </c>
      <c r="C4" s="7">
        <f>IFERROR(__xludf.DUMMYFUNCTION("""COMPUTED_VALUE"""),6.0)</f>
        <v>6</v>
      </c>
      <c r="D4" s="7" t="str">
        <f>IFERROR(__xludf.DUMMYFUNCTION("""COMPUTED_VALUE"""),"")</f>
        <v/>
      </c>
      <c r="E4" s="7" t="str">
        <f>IFERROR(__xludf.DUMMYFUNCTION("""COMPUTED_VALUE"""),"Manage Respondent")</f>
        <v>Manage Respondent</v>
      </c>
      <c r="F4" s="7" t="str">
        <f>IFERROR(__xludf.DUMMYFUNCTION("""COMPUTED_VALUE"""),"Manage Respondent List")</f>
        <v>Manage Respondent List</v>
      </c>
      <c r="G4" s="7" t="str">
        <f>IFERROR(__xludf.DUMMYFUNCTION("""COMPUTED_VALUE"""),"M")</f>
        <v>M</v>
      </c>
      <c r="H4" s="7" t="str">
        <f>IFERROR(__xludf.DUMMYFUNCTION("""COMPUTED_VALUE"""),"Jaikishan")</f>
        <v>Jaikishan</v>
      </c>
      <c r="I4" s="7" t="str">
        <f>IFERROR(__xludf.DUMMYFUNCTION("""COMPUTED_VALUE"""),"UI")</f>
        <v>UI</v>
      </c>
      <c r="J4" s="7" t="str">
        <f>IFERROR(__xludf.DUMMYFUNCTION("""COMPUTED_VALUE"""),"1. Form must be created.
2. User has permission of 'View Manage Respondent List'.")</f>
        <v>1. Form must be created.
2. User has permission of 'View Manage Respondent List'.</v>
      </c>
      <c r="K4" s="7" t="str">
        <f>IFERROR(__xludf.DUMMYFUNCTION("""COMPUTED_VALUE"""),"Verify Table Header label should be matched with requirement ")</f>
        <v>Verify Table Header label should be matched with requirement </v>
      </c>
      <c r="L4" s="7" t="str">
        <f>IFERROR(__xludf.DUMMYFUNCTION("""COMPUTED_VALUE"""),"1. Go  to 'Manage Form' list.
2. Click on List action.
3. Click on ""Manage Respondent""
4. Check labels of table header")</f>
        <v>1. Go  to 'Manage Form' list.
2. Click on List action.
3. Click on "Manage Respondent"
4. Check labels of table header</v>
      </c>
      <c r="M4" s="7" t="str">
        <f>IFERROR(__xludf.DUMMYFUNCTION("""COMPUTED_VALUE"""),"Labels of table header should be matched with requirement.
""0. Select all
1. S.No.
2. Respondent Set 
3. Available From
4. Available Upto
5. Edit Response
6. Verify Response 
7. Approve Response
""")</f>
        <v>Labels of table header should be matched with requirement.
"0. Select all
1. S.No.
2. Respondent Set 
3. Available From
4. Available Upto
5. Edit Response
6. Verify Response 
7. Approve Response
"</v>
      </c>
      <c r="N4" s="7" t="str">
        <f>IFERROR(__xludf.DUMMYFUNCTION("""COMPUTED_VALUE"""),"")</f>
        <v/>
      </c>
      <c r="O4" s="7" t="str">
        <f>IFERROR(__xludf.DUMMYFUNCTION("""COMPUTED_VALUE"""),"1. Select all column is missing.
2. Respondent Set instead of Respondent Group")</f>
        <v>1. Select all column is missing.
2. Respondent Set instead of Respondent Group</v>
      </c>
      <c r="P4" s="7" t="str">
        <f>IFERROR(__xludf.DUMMYFUNCTION("""COMPUTED_VALUE"""),"Fail")</f>
        <v>Fail</v>
      </c>
      <c r="Q4" s="7" t="str">
        <f>IFERROR(__xludf.DUMMYFUNCTION("""COMPUTED_VALUE"""),"Jaikishan")</f>
        <v>Jaikishan</v>
      </c>
      <c r="R4" s="8">
        <f>IFERROR(__xludf.DUMMYFUNCTION("""COMPUTED_VALUE"""),43791.0)</f>
        <v>43791</v>
      </c>
      <c r="S4" s="7" t="str">
        <f>IFERROR(__xludf.DUMMYFUNCTION("""COMPUTED_VALUE"""),"TR2019_W47")</f>
        <v>TR2019_W47</v>
      </c>
      <c r="T4" s="9" t="s">
        <v>10</v>
      </c>
      <c r="U4" s="7"/>
      <c r="V4" s="9" t="s">
        <v>39</v>
      </c>
      <c r="W4" s="7"/>
      <c r="X4" s="7"/>
      <c r="Y4" s="7"/>
      <c r="Z4" s="7"/>
    </row>
    <row r="5">
      <c r="A5" s="7" t="str">
        <f>IFERROR(__xludf.DUMMYFUNCTION("""COMPUTED_VALUE"""),"TCM_dKosh_General_SMF1_022_009")</f>
        <v>TCM_dKosh_General_SMF1_022_009</v>
      </c>
      <c r="B5" s="7" t="str">
        <f>IFERROR(__xludf.DUMMYFUNCTION("""COMPUTED_VALUE"""),"TP_dKosh_General_SMF1_022")</f>
        <v>TP_dKosh_General_SMF1_022</v>
      </c>
      <c r="C5" s="7">
        <f>IFERROR(__xludf.DUMMYFUNCTION("""COMPUTED_VALUE"""),9.0)</f>
        <v>9</v>
      </c>
      <c r="D5" s="7" t="str">
        <f>IFERROR(__xludf.DUMMYFUNCTION("""COMPUTED_VALUE"""),"")</f>
        <v/>
      </c>
      <c r="E5" s="7" t="str">
        <f>IFERROR(__xludf.DUMMYFUNCTION("""COMPUTED_VALUE"""),"Manage Respondent")</f>
        <v>Manage Respondent</v>
      </c>
      <c r="F5" s="7" t="str">
        <f>IFERROR(__xludf.DUMMYFUNCTION("""COMPUTED_VALUE"""),"Manage Respondent List")</f>
        <v>Manage Respondent List</v>
      </c>
      <c r="G5" s="7" t="str">
        <f>IFERROR(__xludf.DUMMYFUNCTION("""COMPUTED_VALUE"""),"M")</f>
        <v>M</v>
      </c>
      <c r="H5" s="7" t="str">
        <f>IFERROR(__xludf.DUMMYFUNCTION("""COMPUTED_VALUE"""),"Jaikishan")</f>
        <v>Jaikishan</v>
      </c>
      <c r="I5" s="7" t="str">
        <f>IFERROR(__xludf.DUMMYFUNCTION("""COMPUTED_VALUE"""),"Validation")</f>
        <v>Validation</v>
      </c>
      <c r="J5" s="7" t="str">
        <f>IFERROR(__xludf.DUMMYFUNCTION("""COMPUTED_VALUE"""),"1. Form must be created.
2. User has permission of 'View Manage Respondent List'.")</f>
        <v>1. Form must be created.
2. User has permission of 'View Manage Respondent List'.</v>
      </c>
      <c r="K5" s="7" t="str">
        <f>IFERROR(__xludf.DUMMYFUNCTION("""COMPUTED_VALUE"""),"Verify, Alphabet Sorting is working on list of manage Respondent")</f>
        <v>Verify, Alphabet Sorting is working on list of manage Respondent</v>
      </c>
      <c r="L5" s="7" t="str">
        <f>IFERROR(__xludf.DUMMYFUNCTION("""COMPUTED_VALUE"""),"1. Go  to 'Manage Form' list.
2. Click on List action.
3. Click on ""Manage Respondent""
4. Click on Table header name.
5. Check alplabet sorting.")</f>
        <v>1. Go  to 'Manage Form' list.
2. Click on List action.
3. Click on "Manage Respondent"
4. Click on Table header name.
5. Check alplabet sorting.</v>
      </c>
      <c r="M5" s="7" t="str">
        <f>IFERROR(__xludf.DUMMYFUNCTION("""COMPUTED_VALUE"""),"Column should be sorted according to alphabet sorting.")</f>
        <v>Column should be sorted according to alphabet sorting.</v>
      </c>
      <c r="N5" s="7" t="str">
        <f>IFERROR(__xludf.DUMMYFUNCTION("""COMPUTED_VALUE"""),"")</f>
        <v/>
      </c>
      <c r="O5" s="7" t="str">
        <f>IFERROR(__xludf.DUMMYFUNCTION("""COMPUTED_VALUE"""),"Alphabet sorting not working for Respondent Set")</f>
        <v>Alphabet sorting not working for Respondent Set</v>
      </c>
      <c r="P5" s="7" t="str">
        <f>IFERROR(__xludf.DUMMYFUNCTION("""COMPUTED_VALUE"""),"Fail")</f>
        <v>Fail</v>
      </c>
      <c r="Q5" s="7" t="str">
        <f>IFERROR(__xludf.DUMMYFUNCTION("""COMPUTED_VALUE"""),"Jaikishan")</f>
        <v>Jaikishan</v>
      </c>
      <c r="R5" s="8">
        <f>IFERROR(__xludf.DUMMYFUNCTION("""COMPUTED_VALUE"""),43791.0)</f>
        <v>43791</v>
      </c>
      <c r="S5" s="7" t="str">
        <f>IFERROR(__xludf.DUMMYFUNCTION("""COMPUTED_VALUE"""),"TR2019_W47")</f>
        <v>TR2019_W47</v>
      </c>
      <c r="T5" s="9" t="s">
        <v>10</v>
      </c>
      <c r="U5" s="7"/>
      <c r="V5" s="9" t="s">
        <v>39</v>
      </c>
      <c r="W5" s="9"/>
      <c r="X5" s="9" t="s">
        <v>8</v>
      </c>
      <c r="Y5" s="7"/>
      <c r="Z5" s="7"/>
    </row>
    <row r="6">
      <c r="A6" s="7" t="str">
        <f>IFERROR(__xludf.DUMMYFUNCTION("""COMPUTED_VALUE"""),"TCM_dKosh_General_SMF1_025_013")</f>
        <v>TCM_dKosh_General_SMF1_025_013</v>
      </c>
      <c r="B6" s="7" t="str">
        <f>IFERROR(__xludf.DUMMYFUNCTION("""COMPUTED_VALUE"""),"TP_dKosh_General_SMF1_025")</f>
        <v>TP_dKosh_General_SMF1_025</v>
      </c>
      <c r="C6" s="7">
        <f>IFERROR(__xludf.DUMMYFUNCTION("""COMPUTED_VALUE"""),13.0)</f>
        <v>13</v>
      </c>
      <c r="D6" s="7" t="str">
        <f>IFERROR(__xludf.DUMMYFUNCTION("""COMPUTED_VALUE"""),"")</f>
        <v/>
      </c>
      <c r="E6" s="7" t="str">
        <f>IFERROR(__xludf.DUMMYFUNCTION("""COMPUTED_VALUE"""),"Manage Respondent")</f>
        <v>Manage Respondent</v>
      </c>
      <c r="F6" s="7" t="str">
        <f>IFERROR(__xludf.DUMMYFUNCTION("""COMPUTED_VALUE"""),"Manage Respondent List")</f>
        <v>Manage Respondent List</v>
      </c>
      <c r="G6" s="7" t="str">
        <f>IFERROR(__xludf.DUMMYFUNCTION("""COMPUTED_VALUE"""),"M")</f>
        <v>M</v>
      </c>
      <c r="H6" s="7" t="str">
        <f>IFERROR(__xludf.DUMMYFUNCTION("""COMPUTED_VALUE"""),"Jaikishan")</f>
        <v>Jaikishan</v>
      </c>
      <c r="I6" s="7" t="str">
        <f>IFERROR(__xludf.DUMMYFUNCTION("""COMPUTED_VALUE"""),"Functional")</f>
        <v>Functional</v>
      </c>
      <c r="J6" s="7" t="str">
        <f>IFERROR(__xludf.DUMMYFUNCTION("""COMPUTED_VALUE"""),"1. Form must be created.
2. User has permission of 'View Manage Respondent List'.")</f>
        <v>1. Form must be created.
2. User has permission of 'View Manage Respondent List'.</v>
      </c>
      <c r="K6" s="7" t="str">
        <f>IFERROR(__xludf.DUMMYFUNCTION("""COMPUTED_VALUE"""),"Verify, ""Respondent Set"" , when Employee group mark as Unavailable")</f>
        <v>Verify, "Respondent Set" , when Employee group mark as Unavailable</v>
      </c>
      <c r="L6" s="7" t="str">
        <f>IFERROR(__xludf.DUMMYFUNCTION("""COMPUTED_VALUE"""),"1. Go  to 'Manage Form' list.
2. Click on List action.
3. Click on ""Manage Respondent""
4. Modify Employee group
5. Check in Respondent Set list.")</f>
        <v>1. Go  to 'Manage Form' list.
2. Click on List action.
3. Click on "Manage Respondent"
4. Modify Employee group
5. Check in Respondent Set list.</v>
      </c>
      <c r="M6" s="7" t="str">
        <f>IFERROR(__xludf.DUMMYFUNCTION("""COMPUTED_VALUE"""),"Unavailable Employee Group should not be show in Respondent set.")</f>
        <v>Unavailable Employee Group should not be show in Respondent set.</v>
      </c>
      <c r="N6" s="7" t="str">
        <f>IFERROR(__xludf.DUMMYFUNCTION("""COMPUTED_VALUE"""),"")</f>
        <v/>
      </c>
      <c r="O6" s="7" t="str">
        <f>IFERROR(__xludf.DUMMYFUNCTION("""COMPUTED_VALUE"""),"Unavailable Employee group also showing in Respondent Set.")</f>
        <v>Unavailable Employee group also showing in Respondent Set.</v>
      </c>
      <c r="P6" s="7" t="str">
        <f>IFERROR(__xludf.DUMMYFUNCTION("""COMPUTED_VALUE"""),"Fail")</f>
        <v>Fail</v>
      </c>
      <c r="Q6" s="7" t="str">
        <f>IFERROR(__xludf.DUMMYFUNCTION("""COMPUTED_VALUE"""),"Jaikishan")</f>
        <v>Jaikishan</v>
      </c>
      <c r="R6" s="8">
        <f>IFERROR(__xludf.DUMMYFUNCTION("""COMPUTED_VALUE"""),43791.0)</f>
        <v>43791</v>
      </c>
      <c r="S6" s="7" t="str">
        <f>IFERROR(__xludf.DUMMYFUNCTION("""COMPUTED_VALUE"""),"TR2019_W47")</f>
        <v>TR2019_W47</v>
      </c>
      <c r="T6" s="9" t="s">
        <v>10</v>
      </c>
      <c r="U6" s="7"/>
      <c r="V6" s="9" t="s">
        <v>39</v>
      </c>
      <c r="W6" s="7"/>
      <c r="X6" s="7"/>
      <c r="Y6" s="7"/>
      <c r="Z6" s="7"/>
    </row>
    <row r="7">
      <c r="A7" s="7" t="str">
        <f>IFERROR(__xludf.DUMMYFUNCTION("""COMPUTED_VALUE"""),"TCM_dKosh_General_SMF1_023_016")</f>
        <v>TCM_dKosh_General_SMF1_023_016</v>
      </c>
      <c r="B7" s="7" t="str">
        <f>IFERROR(__xludf.DUMMYFUNCTION("""COMPUTED_VALUE"""),"TP_dKosh_General_SMF1_023")</f>
        <v>TP_dKosh_General_SMF1_023</v>
      </c>
      <c r="C7" s="7">
        <f>IFERROR(__xludf.DUMMYFUNCTION("""COMPUTED_VALUE"""),16.0)</f>
        <v>16</v>
      </c>
      <c r="D7" s="7" t="str">
        <f>IFERROR(__xludf.DUMMYFUNCTION("""COMPUTED_VALUE"""),"")</f>
        <v/>
      </c>
      <c r="E7" s="7" t="str">
        <f>IFERROR(__xludf.DUMMYFUNCTION("""COMPUTED_VALUE"""),"Manage Respondent")</f>
        <v>Manage Respondent</v>
      </c>
      <c r="F7" s="7" t="str">
        <f>IFERROR(__xludf.DUMMYFUNCTION("""COMPUTED_VALUE"""),"Manage Respondent List")</f>
        <v>Manage Respondent List</v>
      </c>
      <c r="G7" s="7" t="str">
        <f>IFERROR(__xludf.DUMMYFUNCTION("""COMPUTED_VALUE"""),"M")</f>
        <v>M</v>
      </c>
      <c r="H7" s="7" t="str">
        <f>IFERROR(__xludf.DUMMYFUNCTION("""COMPUTED_VALUE"""),"Jaikishan")</f>
        <v>Jaikishan</v>
      </c>
      <c r="I7" s="7" t="str">
        <f>IFERROR(__xludf.DUMMYFUNCTION("""COMPUTED_VALUE"""),"Functional")</f>
        <v>Functional</v>
      </c>
      <c r="J7" s="7" t="str">
        <f>IFERROR(__xludf.DUMMYFUNCTION("""COMPUTED_VALUE"""),"1. Form must be created.
2. User has permission of 'View Manage Respondent List'.")</f>
        <v>1. Form must be created.
2. User has permission of 'View Manage Respondent List'.</v>
      </c>
      <c r="K7" s="7" t="str">
        <f>IFERROR(__xludf.DUMMYFUNCTION("""COMPUTED_VALUE"""),"Verify, 'Select all' checkbox.")</f>
        <v>Verify, 'Select all' checkbox.</v>
      </c>
      <c r="L7" s="7" t="str">
        <f>IFERROR(__xludf.DUMMYFUNCTION("""COMPUTED_VALUE"""),"1. Go  to 'Manage Form' list.
2. Click on List action.
3. Click on ""Manage Respondent""
4. Click on ""Select all"" checkbox")</f>
        <v>1. Go  to 'Manage Form' list.
2. Click on List action.
3. Click on "Manage Respondent"
4. Click on "Select all" checkbox</v>
      </c>
      <c r="M7" s="7" t="str">
        <f>IFERROR(__xludf.DUMMYFUNCTION("""COMPUTED_VALUE"""),"All Respondent set should be selected.")</f>
        <v>All Respondent set should be selected.</v>
      </c>
      <c r="N7" s="7" t="str">
        <f>IFERROR(__xludf.DUMMYFUNCTION("""COMPUTED_VALUE"""),"")</f>
        <v/>
      </c>
      <c r="O7" s="7" t="str">
        <f>IFERROR(__xludf.DUMMYFUNCTION("""COMPUTED_VALUE"""),"Select all column is not present")</f>
        <v>Select all column is not present</v>
      </c>
      <c r="P7" s="7" t="str">
        <f>IFERROR(__xludf.DUMMYFUNCTION("""COMPUTED_VALUE"""),"Fail")</f>
        <v>Fail</v>
      </c>
      <c r="Q7" s="7" t="str">
        <f>IFERROR(__xludf.DUMMYFUNCTION("""COMPUTED_VALUE"""),"Jaikishan")</f>
        <v>Jaikishan</v>
      </c>
      <c r="R7" s="8">
        <f>IFERROR(__xludf.DUMMYFUNCTION("""COMPUTED_VALUE"""),43791.0)</f>
        <v>43791</v>
      </c>
      <c r="S7" s="7" t="str">
        <f>IFERROR(__xludf.DUMMYFUNCTION("""COMPUTED_VALUE"""),"TR2019_W47")</f>
        <v>TR2019_W47</v>
      </c>
      <c r="T7" s="9" t="s">
        <v>10</v>
      </c>
      <c r="U7" s="7"/>
      <c r="V7" s="9" t="s">
        <v>39</v>
      </c>
      <c r="W7" s="7"/>
      <c r="X7" s="7"/>
      <c r="Y7" s="7"/>
      <c r="Z7" s="7"/>
    </row>
    <row r="8">
      <c r="A8" s="7" t="str">
        <f>IFERROR(__xludf.DUMMYFUNCTION("""COMPUTED_VALUE"""),"TCM_dKosh_General_SMF1_023_018")</f>
        <v>TCM_dKosh_General_SMF1_023_018</v>
      </c>
      <c r="B8" s="7" t="str">
        <f>IFERROR(__xludf.DUMMYFUNCTION("""COMPUTED_VALUE"""),"TP_dKosh_General_SMF1_023")</f>
        <v>TP_dKosh_General_SMF1_023</v>
      </c>
      <c r="C8" s="7">
        <f>IFERROR(__xludf.DUMMYFUNCTION("""COMPUTED_VALUE"""),18.0)</f>
        <v>18</v>
      </c>
      <c r="D8" s="7" t="str">
        <f>IFERROR(__xludf.DUMMYFUNCTION("""COMPUTED_VALUE"""),"")</f>
        <v/>
      </c>
      <c r="E8" s="7" t="str">
        <f>IFERROR(__xludf.DUMMYFUNCTION("""COMPUTED_VALUE"""),"Manage Respondent")</f>
        <v>Manage Respondent</v>
      </c>
      <c r="F8" s="7" t="str">
        <f>IFERROR(__xludf.DUMMYFUNCTION("""COMPUTED_VALUE"""),"Manage Respondent List")</f>
        <v>Manage Respondent List</v>
      </c>
      <c r="G8" s="7" t="str">
        <f>IFERROR(__xludf.DUMMYFUNCTION("""COMPUTED_VALUE"""),"M")</f>
        <v>M</v>
      </c>
      <c r="H8" s="7" t="str">
        <f>IFERROR(__xludf.DUMMYFUNCTION("""COMPUTED_VALUE"""),"Jaikishan")</f>
        <v>Jaikishan</v>
      </c>
      <c r="I8" s="7" t="str">
        <f>IFERROR(__xludf.DUMMYFUNCTION("""COMPUTED_VALUE"""),"Functional")</f>
        <v>Functional</v>
      </c>
      <c r="J8" s="7" t="str">
        <f>IFERROR(__xludf.DUMMYFUNCTION("""COMPUTED_VALUE"""),"1. Form must be created.
2. User has permission of 'View Manage Respondent List'.")</f>
        <v>1. Form must be created.
2. User has permission of 'View Manage Respondent List'.</v>
      </c>
      <c r="K8" s="7" t="str">
        <f>IFERROR(__xludf.DUMMYFUNCTION("""COMPUTED_VALUE"""),"Verify, ""Available From"" takes value date with time.")</f>
        <v>Verify, "Available From" takes value date with time.</v>
      </c>
      <c r="L8" s="7" t="str">
        <f>IFERROR(__xludf.DUMMYFUNCTION("""COMPUTED_VALUE"""),"1. Go  to 'Manage Form' list.
2. Click on List action.
3. Click on ""Manage Respondent""
4. Select any checkbox
5. Select Available From")</f>
        <v>1. Go  to 'Manage Form' list.
2. Click on List action.
3. Click on "Manage Respondent"
4. Select any checkbox
5. Select Available From</v>
      </c>
      <c r="M8" s="7" t="str">
        <f>IFERROR(__xludf.DUMMYFUNCTION("""COMPUTED_VALUE"""),"Available from date with time should be showing.")</f>
        <v>Available from date with time should be showing.</v>
      </c>
      <c r="N8" s="7" t="str">
        <f>IFERROR(__xludf.DUMMYFUNCTION("""COMPUTED_VALUE"""),"")</f>
        <v/>
      </c>
      <c r="O8" s="7" t="str">
        <f>IFERROR(__xludf.DUMMYFUNCTION("""COMPUTED_VALUE"""),"Only date showing
")</f>
        <v>Only date showing
</v>
      </c>
      <c r="P8" s="7" t="str">
        <f>IFERROR(__xludf.DUMMYFUNCTION("""COMPUTED_VALUE"""),"Fail")</f>
        <v>Fail</v>
      </c>
      <c r="Q8" s="7" t="str">
        <f>IFERROR(__xludf.DUMMYFUNCTION("""COMPUTED_VALUE"""),"Jaikishan")</f>
        <v>Jaikishan</v>
      </c>
      <c r="R8" s="8">
        <f>IFERROR(__xludf.DUMMYFUNCTION("""COMPUTED_VALUE"""),43791.0)</f>
        <v>43791</v>
      </c>
      <c r="S8" s="7" t="str">
        <f>IFERROR(__xludf.DUMMYFUNCTION("""COMPUTED_VALUE"""),"TR2019_W47")</f>
        <v>TR2019_W47</v>
      </c>
      <c r="T8" s="9" t="s">
        <v>10</v>
      </c>
      <c r="U8" s="7"/>
      <c r="V8" s="9" t="s">
        <v>43</v>
      </c>
      <c r="W8" s="9" t="s">
        <v>44</v>
      </c>
      <c r="X8" s="7"/>
      <c r="Y8" s="7"/>
      <c r="Z8" s="7"/>
    </row>
    <row r="9">
      <c r="A9" s="7" t="str">
        <f>IFERROR(__xludf.DUMMYFUNCTION("""COMPUTED_VALUE"""),"TCM_dKosh_General_SMF1_023_019")</f>
        <v>TCM_dKosh_General_SMF1_023_019</v>
      </c>
      <c r="B9" s="7" t="str">
        <f>IFERROR(__xludf.DUMMYFUNCTION("""COMPUTED_VALUE"""),"TP_dKosh_General_SMF1_023")</f>
        <v>TP_dKosh_General_SMF1_023</v>
      </c>
      <c r="C9" s="7">
        <f>IFERROR(__xludf.DUMMYFUNCTION("""COMPUTED_VALUE"""),19.0)</f>
        <v>19</v>
      </c>
      <c r="D9" s="7" t="str">
        <f>IFERROR(__xludf.DUMMYFUNCTION("""COMPUTED_VALUE"""),"")</f>
        <v/>
      </c>
      <c r="E9" s="7" t="str">
        <f>IFERROR(__xludf.DUMMYFUNCTION("""COMPUTED_VALUE"""),"Manage Respondent")</f>
        <v>Manage Respondent</v>
      </c>
      <c r="F9" s="7" t="str">
        <f>IFERROR(__xludf.DUMMYFUNCTION("""COMPUTED_VALUE"""),"Manage Respondent List")</f>
        <v>Manage Respondent List</v>
      </c>
      <c r="G9" s="7" t="str">
        <f>IFERROR(__xludf.DUMMYFUNCTION("""COMPUTED_VALUE"""),"M")</f>
        <v>M</v>
      </c>
      <c r="H9" s="7" t="str">
        <f>IFERROR(__xludf.DUMMYFUNCTION("""COMPUTED_VALUE"""),"Jaikishan")</f>
        <v>Jaikishan</v>
      </c>
      <c r="I9" s="7" t="str">
        <f>IFERROR(__xludf.DUMMYFUNCTION("""COMPUTED_VALUE"""),"Functional")</f>
        <v>Functional</v>
      </c>
      <c r="J9" s="7" t="str">
        <f>IFERROR(__xludf.DUMMYFUNCTION("""COMPUTED_VALUE"""),"1. Form must be created.
2. User has permission of 'View Manage Respondent List'.")</f>
        <v>1. Form must be created.
2. User has permission of 'View Manage Respondent List'.</v>
      </c>
      <c r="K9" s="7" t="str">
        <f>IFERROR(__xludf.DUMMYFUNCTION("""COMPUTED_VALUE"""),"Verify, ""Available Upto"" takes value date with time.")</f>
        <v>Verify, "Available Upto" takes value date with time.</v>
      </c>
      <c r="L9" s="7" t="str">
        <f>IFERROR(__xludf.DUMMYFUNCTION("""COMPUTED_VALUE"""),"1. Go  to 'Manage Form' list.
2. Click on List action.
3. Click on ""Manage Respondent""
4. Select any checkbox
5. Select Available Upto")</f>
        <v>1. Go  to 'Manage Form' list.
2. Click on List action.
3. Click on "Manage Respondent"
4. Select any checkbox
5. Select Available Upto</v>
      </c>
      <c r="M9" s="7" t="str">
        <f>IFERROR(__xludf.DUMMYFUNCTION("""COMPUTED_VALUE"""),"Available Upto date with time should be showing.")</f>
        <v>Available Upto date with time should be showing.</v>
      </c>
      <c r="N9" s="7" t="str">
        <f>IFERROR(__xludf.DUMMYFUNCTION("""COMPUTED_VALUE"""),"")</f>
        <v/>
      </c>
      <c r="O9" s="7" t="str">
        <f>IFERROR(__xludf.DUMMYFUNCTION("""COMPUTED_VALUE"""),"Only date showing
")</f>
        <v>Only date showing
</v>
      </c>
      <c r="P9" s="7" t="str">
        <f>IFERROR(__xludf.DUMMYFUNCTION("""COMPUTED_VALUE"""),"Fail")</f>
        <v>Fail</v>
      </c>
      <c r="Q9" s="7" t="str">
        <f>IFERROR(__xludf.DUMMYFUNCTION("""COMPUTED_VALUE"""),"Jaikishan")</f>
        <v>Jaikishan</v>
      </c>
      <c r="R9" s="8">
        <f>IFERROR(__xludf.DUMMYFUNCTION("""COMPUTED_VALUE"""),43791.0)</f>
        <v>43791</v>
      </c>
      <c r="S9" s="7" t="str">
        <f>IFERROR(__xludf.DUMMYFUNCTION("""COMPUTED_VALUE"""),"TR2019_W47")</f>
        <v>TR2019_W47</v>
      </c>
      <c r="T9" s="9" t="s">
        <v>10</v>
      </c>
      <c r="U9" s="7"/>
      <c r="V9" s="9" t="s">
        <v>39</v>
      </c>
      <c r="W9" s="9" t="s">
        <v>45</v>
      </c>
      <c r="X9" s="7"/>
      <c r="Y9" s="7"/>
      <c r="Z9" s="7"/>
    </row>
    <row r="10">
      <c r="A10" s="7" t="str">
        <f>IFERROR(__xludf.DUMMYFUNCTION("""COMPUTED_VALUE"""),"TCM_dKosh_General_SMF1_023_020")</f>
        <v>TCM_dKosh_General_SMF1_023_020</v>
      </c>
      <c r="B10" s="7" t="str">
        <f>IFERROR(__xludf.DUMMYFUNCTION("""COMPUTED_VALUE"""),"TP_dKosh_General_SMF1_023")</f>
        <v>TP_dKosh_General_SMF1_023</v>
      </c>
      <c r="C10" s="7">
        <f>IFERROR(__xludf.DUMMYFUNCTION("""COMPUTED_VALUE"""),20.0)</f>
        <v>20</v>
      </c>
      <c r="D10" s="7" t="str">
        <f>IFERROR(__xludf.DUMMYFUNCTION("""COMPUTED_VALUE"""),"")</f>
        <v/>
      </c>
      <c r="E10" s="7" t="str">
        <f>IFERROR(__xludf.DUMMYFUNCTION("""COMPUTED_VALUE"""),"Manage Respondent")</f>
        <v>Manage Respondent</v>
      </c>
      <c r="F10" s="7" t="str">
        <f>IFERROR(__xludf.DUMMYFUNCTION("""COMPUTED_VALUE"""),"Manage Respondent List")</f>
        <v>Manage Respondent List</v>
      </c>
      <c r="G10" s="7" t="str">
        <f>IFERROR(__xludf.DUMMYFUNCTION("""COMPUTED_VALUE"""),"M")</f>
        <v>M</v>
      </c>
      <c r="H10" s="7" t="str">
        <f>IFERROR(__xludf.DUMMYFUNCTION("""COMPUTED_VALUE"""),"Jaikishan")</f>
        <v>Jaikishan</v>
      </c>
      <c r="I10" s="7" t="str">
        <f>IFERROR(__xludf.DUMMYFUNCTION("""COMPUTED_VALUE"""),"Functional")</f>
        <v>Functional</v>
      </c>
      <c r="J10" s="7" t="str">
        <f>IFERROR(__xludf.DUMMYFUNCTION("""COMPUTED_VALUE"""),"1. Form must be created.
2. User has permission of 'View Manage Respondent List'.")</f>
        <v>1. Form must be created.
2. User has permission of 'View Manage Respondent List'.</v>
      </c>
      <c r="K10" s="7" t="str">
        <f>IFERROR(__xludf.DUMMYFUNCTION("""COMPUTED_VALUE"""),"Verify, Available From date greater than Available Upto date")</f>
        <v>Verify, Available From date greater than Available Upto date</v>
      </c>
      <c r="L10" s="7" t="str">
        <f>IFERROR(__xludf.DUMMYFUNCTION("""COMPUTED_VALUE"""),"1. Go  to 'Manage Form' list.
2. Click on List action.
3. Click on ""Manage Respondent""
4. Select any checkbox
5. Select Available Upto &amp; From Date.")</f>
        <v>1. Go  to 'Manage Form' list.
2. Click on List action.
3. Click on "Manage Respondent"
4. Select any checkbox
5. Select Available Upto &amp; From Date.</v>
      </c>
      <c r="M10" s="7" t="str">
        <f>IFERROR(__xludf.DUMMYFUNCTION("""COMPUTED_VALUE"""),"Message ""Available From should be less than Available Upto"" should be show")</f>
        <v>Message "Available From should be less than Available Upto" should be show</v>
      </c>
      <c r="N10" s="7" t="str">
        <f>IFERROR(__xludf.DUMMYFUNCTION("""COMPUTED_VALUE"""),"Refer to standard message.")</f>
        <v>Refer to standard message.</v>
      </c>
      <c r="O10" s="7" t="str">
        <f>IFERROR(__xludf.DUMMYFUNCTION("""COMPUTED_VALUE"""),"Validation message showing after save
Not follow standard message.
")</f>
        <v>Validation message showing after save
Not follow standard message.
</v>
      </c>
      <c r="P10" s="7" t="str">
        <f>IFERROR(__xludf.DUMMYFUNCTION("""COMPUTED_VALUE"""),"Fail")</f>
        <v>Fail</v>
      </c>
      <c r="Q10" s="7" t="str">
        <f>IFERROR(__xludf.DUMMYFUNCTION("""COMPUTED_VALUE"""),"Jaikishan")</f>
        <v>Jaikishan</v>
      </c>
      <c r="R10" s="8">
        <f>IFERROR(__xludf.DUMMYFUNCTION("""COMPUTED_VALUE"""),43791.0)</f>
        <v>43791</v>
      </c>
      <c r="S10" s="7" t="str">
        <f>IFERROR(__xludf.DUMMYFUNCTION("""COMPUTED_VALUE"""),"TR2019_W47")</f>
        <v>TR2019_W47</v>
      </c>
      <c r="T10" s="9" t="s">
        <v>10</v>
      </c>
      <c r="U10" s="7"/>
      <c r="V10" s="9" t="s">
        <v>39</v>
      </c>
      <c r="W10" s="9" t="s">
        <v>46</v>
      </c>
      <c r="X10" s="7"/>
      <c r="Y10" s="7"/>
      <c r="Z10" s="7"/>
    </row>
    <row r="11">
      <c r="A11" s="7" t="str">
        <f>IFERROR(__xludf.DUMMYFUNCTION("""COMPUTED_VALUE"""),"TCM_dKosh_General_SMF1_023_020")</f>
        <v>TCM_dKosh_General_SMF1_023_020</v>
      </c>
      <c r="B11" s="7" t="str">
        <f>IFERROR(__xludf.DUMMYFUNCTION("""COMPUTED_VALUE"""),"TP_dKosh_General_SMF1_023")</f>
        <v>TP_dKosh_General_SMF1_023</v>
      </c>
      <c r="C11" s="7">
        <f>IFERROR(__xludf.DUMMYFUNCTION("""COMPUTED_VALUE"""),20.0)</f>
        <v>20</v>
      </c>
      <c r="D11" s="7" t="str">
        <f>IFERROR(__xludf.DUMMYFUNCTION("""COMPUTED_VALUE"""),"")</f>
        <v/>
      </c>
      <c r="E11" s="7" t="str">
        <f>IFERROR(__xludf.DUMMYFUNCTION("""COMPUTED_VALUE"""),"Manage Respondent")</f>
        <v>Manage Respondent</v>
      </c>
      <c r="F11" s="7" t="str">
        <f>IFERROR(__xludf.DUMMYFUNCTION("""COMPUTED_VALUE"""),"Manage Respondent List")</f>
        <v>Manage Respondent List</v>
      </c>
      <c r="G11" s="7" t="str">
        <f>IFERROR(__xludf.DUMMYFUNCTION("""COMPUTED_VALUE"""),"M")</f>
        <v>M</v>
      </c>
      <c r="H11" s="7" t="str">
        <f>IFERROR(__xludf.DUMMYFUNCTION("""COMPUTED_VALUE"""),"Jaikishan")</f>
        <v>Jaikishan</v>
      </c>
      <c r="I11" s="7" t="str">
        <f>IFERROR(__xludf.DUMMYFUNCTION("""COMPUTED_VALUE"""),"Functional")</f>
        <v>Functional</v>
      </c>
      <c r="J11" s="7" t="str">
        <f>IFERROR(__xludf.DUMMYFUNCTION("""COMPUTED_VALUE"""),"1. Form must be created.
2. User has permission of 'View Manage Respondent List'.")</f>
        <v>1. Form must be created.
2. User has permission of 'View Manage Respondent List'.</v>
      </c>
      <c r="K11" s="7" t="str">
        <f>IFERROR(__xludf.DUMMYFUNCTION("""COMPUTED_VALUE"""),"Verify, Available Upto date less than Available From date")</f>
        <v>Verify, Available Upto date less than Available From date</v>
      </c>
      <c r="L11" s="7" t="str">
        <f>IFERROR(__xludf.DUMMYFUNCTION("""COMPUTED_VALUE"""),"1. Go  to 'Manage Form' list.
2. Click on List action.
3. Click on ""Manage Respondent""
4. Select any checkbox
5. Select Available Upto &amp; From Date.")</f>
        <v>1. Go  to 'Manage Form' list.
2. Click on List action.
3. Click on "Manage Respondent"
4. Select any checkbox
5. Select Available Upto &amp; From Date.</v>
      </c>
      <c r="M11" s="7" t="str">
        <f>IFERROR(__xludf.DUMMYFUNCTION("""COMPUTED_VALUE"""),"Message ""Available Upto should be greater than Available From"" should be show")</f>
        <v>Message "Available Upto should be greater than Available From" should be show</v>
      </c>
      <c r="N11" s="7" t="str">
        <f>IFERROR(__xludf.DUMMYFUNCTION("""COMPUTED_VALUE"""),"Refer to standard message.")</f>
        <v>Refer to standard message.</v>
      </c>
      <c r="O11" s="7" t="str">
        <f>IFERROR(__xludf.DUMMYFUNCTION("""COMPUTED_VALUE"""),"Validation message showing after save
Not follow standard message.
")</f>
        <v>Validation message showing after save
Not follow standard message.
</v>
      </c>
      <c r="P11" s="7" t="str">
        <f>IFERROR(__xludf.DUMMYFUNCTION("""COMPUTED_VALUE"""),"Fail")</f>
        <v>Fail</v>
      </c>
      <c r="Q11" s="7" t="str">
        <f>IFERROR(__xludf.DUMMYFUNCTION("""COMPUTED_VALUE"""),"Jaikishan")</f>
        <v>Jaikishan</v>
      </c>
      <c r="R11" s="8">
        <f>IFERROR(__xludf.DUMMYFUNCTION("""COMPUTED_VALUE"""),43791.0)</f>
        <v>43791</v>
      </c>
      <c r="S11" s="7" t="str">
        <f>IFERROR(__xludf.DUMMYFUNCTION("""COMPUTED_VALUE"""),"TR2019_W47")</f>
        <v>TR2019_W47</v>
      </c>
      <c r="T11" s="9" t="s">
        <v>10</v>
      </c>
      <c r="U11" s="7"/>
      <c r="V11" s="9" t="s">
        <v>39</v>
      </c>
      <c r="W11" s="9" t="s">
        <v>47</v>
      </c>
      <c r="X11" s="7"/>
      <c r="Y11" s="7"/>
      <c r="Z11" s="7"/>
    </row>
    <row r="12">
      <c r="A12" s="7" t="str">
        <f>IFERROR(__xludf.DUMMYFUNCTION("""COMPUTED_VALUE"""),"TCM_dKosh_General_SMF1_023_027")</f>
        <v>TCM_dKosh_General_SMF1_023_027</v>
      </c>
      <c r="B12" s="7" t="str">
        <f>IFERROR(__xludf.DUMMYFUNCTION("""COMPUTED_VALUE"""),"TP_dKosh_General_SMF1_023")</f>
        <v>TP_dKosh_General_SMF1_023</v>
      </c>
      <c r="C12" s="7">
        <f>IFERROR(__xludf.DUMMYFUNCTION("""COMPUTED_VALUE"""),27.0)</f>
        <v>27</v>
      </c>
      <c r="D12" s="7" t="str">
        <f>IFERROR(__xludf.DUMMYFUNCTION("""COMPUTED_VALUE"""),"")</f>
        <v/>
      </c>
      <c r="E12" s="7" t="str">
        <f>IFERROR(__xludf.DUMMYFUNCTION("""COMPUTED_VALUE"""),"Manage Respondent")</f>
        <v>Manage Respondent</v>
      </c>
      <c r="F12" s="7" t="str">
        <f>IFERROR(__xludf.DUMMYFUNCTION("""COMPUTED_VALUE"""),"Manage Respondent List")</f>
        <v>Manage Respondent List</v>
      </c>
      <c r="G12" s="7" t="str">
        <f>IFERROR(__xludf.DUMMYFUNCTION("""COMPUTED_VALUE"""),"M")</f>
        <v>M</v>
      </c>
      <c r="H12" s="7" t="str">
        <f>IFERROR(__xludf.DUMMYFUNCTION("""COMPUTED_VALUE"""),"Jaikishan")</f>
        <v>Jaikishan</v>
      </c>
      <c r="I12" s="7" t="str">
        <f>IFERROR(__xludf.DUMMYFUNCTION("""COMPUTED_VALUE"""),"Functional")</f>
        <v>Functional</v>
      </c>
      <c r="J12" s="7" t="str">
        <f>IFERROR(__xludf.DUMMYFUNCTION("""COMPUTED_VALUE"""),"1. Form must be created.
2. User has permission of 'View Manage Respondent List'.")</f>
        <v>1. Form must be created.
2. User has permission of 'View Manage Respondent List'.</v>
      </c>
      <c r="K12" s="7" t="str">
        <f>IFERROR(__xludf.DUMMYFUNCTION("""COMPUTED_VALUE"""),"Verify, when unselect checkbox and click on ""Ok"" ")</f>
        <v>Verify, when unselect checkbox and click on "Ok" </v>
      </c>
      <c r="L12" s="7" t="str">
        <f>IFERROR(__xludf.DUMMYFUNCTION("""COMPUTED_VALUE"""),"1. Go  to 'Manage Form' list.
2. Click on List action.
3. Click on ""Manage Respondent""
4. Select any checkbox
5. Click ""Ok""
6. Unselect checkbox
7. Again click ""Ok""")</f>
        <v>1. Go  to 'Manage Form' list.
2. Click on List action.
3. Click on "Manage Respondent"
4. Select any checkbox
5. Click "Ok"
6. Unselect checkbox
7. Again click "Ok"</v>
      </c>
      <c r="M12" s="7" t="str">
        <f>IFERROR(__xludf.DUMMYFUNCTION("""COMPUTED_VALUE"""),"1. Message ""Saved successfully"" with that row disabled.
2. And All values is in Default format.
")</f>
        <v>1. Message "Saved successfully" with that row disabled.
2. And All values is in Default format.
</v>
      </c>
      <c r="N12" s="7" t="str">
        <f>IFERROR(__xludf.DUMMYFUNCTION("""COMPUTED_VALUE"""),"")</f>
        <v/>
      </c>
      <c r="O12" s="7" t="str">
        <f>IFERROR(__xludf.DUMMYFUNCTION("""COMPUTED_VALUE"""),"Checkbox not unselected when click on Ok button")</f>
        <v>Checkbox not unselected when click on Ok button</v>
      </c>
      <c r="P12" s="7" t="str">
        <f>IFERROR(__xludf.DUMMYFUNCTION("""COMPUTED_VALUE"""),"Fail")</f>
        <v>Fail</v>
      </c>
      <c r="Q12" s="7" t="str">
        <f>IFERROR(__xludf.DUMMYFUNCTION("""COMPUTED_VALUE"""),"Jaikishan")</f>
        <v>Jaikishan</v>
      </c>
      <c r="R12" s="8">
        <f>IFERROR(__xludf.DUMMYFUNCTION("""COMPUTED_VALUE"""),43791.0)</f>
        <v>43791</v>
      </c>
      <c r="S12" s="7" t="str">
        <f>IFERROR(__xludf.DUMMYFUNCTION("""COMPUTED_VALUE"""),"TR2019_W47")</f>
        <v>TR2019_W47</v>
      </c>
      <c r="T12" s="9" t="s">
        <v>10</v>
      </c>
      <c r="U12" s="7"/>
      <c r="V12" s="9" t="s">
        <v>39</v>
      </c>
      <c r="W12" s="7"/>
      <c r="X12" s="7"/>
      <c r="Y12" s="7"/>
      <c r="Z12" s="7"/>
    </row>
    <row r="13">
      <c r="A13" s="7" t="str">
        <f>IFERROR(__xludf.DUMMYFUNCTION("""COMPUTED_VALUE"""),"TCM_dKosh_General_SMF1_023_028")</f>
        <v>TCM_dKosh_General_SMF1_023_028</v>
      </c>
      <c r="B13" s="7" t="str">
        <f>IFERROR(__xludf.DUMMYFUNCTION("""COMPUTED_VALUE"""),"TP_dKosh_General_SMF1_023")</f>
        <v>TP_dKosh_General_SMF1_023</v>
      </c>
      <c r="C13" s="7">
        <f>IFERROR(__xludf.DUMMYFUNCTION("""COMPUTED_VALUE"""),28.0)</f>
        <v>28</v>
      </c>
      <c r="D13" s="7" t="str">
        <f>IFERROR(__xludf.DUMMYFUNCTION("""COMPUTED_VALUE"""),"")</f>
        <v/>
      </c>
      <c r="E13" s="7" t="str">
        <f>IFERROR(__xludf.DUMMYFUNCTION("""COMPUTED_VALUE"""),"Manage Respondent")</f>
        <v>Manage Respondent</v>
      </c>
      <c r="F13" s="7" t="str">
        <f>IFERROR(__xludf.DUMMYFUNCTION("""COMPUTED_VALUE"""),"Manage Respondent List")</f>
        <v>Manage Respondent List</v>
      </c>
      <c r="G13" s="7" t="str">
        <f>IFERROR(__xludf.DUMMYFUNCTION("""COMPUTED_VALUE"""),"M")</f>
        <v>M</v>
      </c>
      <c r="H13" s="7" t="str">
        <f>IFERROR(__xludf.DUMMYFUNCTION("""COMPUTED_VALUE"""),"Jaikishan")</f>
        <v>Jaikishan</v>
      </c>
      <c r="I13" s="7" t="str">
        <f>IFERROR(__xludf.DUMMYFUNCTION("""COMPUTED_VALUE"""),"Functional")</f>
        <v>Functional</v>
      </c>
      <c r="J13" s="7" t="str">
        <f>IFERROR(__xludf.DUMMYFUNCTION("""COMPUTED_VALUE"""),"1. Form must be created.
2. User has permission of 'View Manage Respondent List'.")</f>
        <v>1. Form must be created.
2. User has permission of 'View Manage Respondent List'.</v>
      </c>
      <c r="K13" s="7" t="str">
        <f>IFERROR(__xludf.DUMMYFUNCTION("""COMPUTED_VALUE"""),"Verify, ""Modify"" of Manage Respondent ")</f>
        <v>Verify, "Modify" of Manage Respondent </v>
      </c>
      <c r="L13" s="7" t="str">
        <f>IFERROR(__xludf.DUMMYFUNCTION("""COMPUTED_VALUE"""),"1. Go  to 'Manage Form' list.
2. Click on List action.
3. Click on ""Manage Respondent""
4. Fill required data.
5. Click on ""Ok""
6. Modify Respondent set")</f>
        <v>1. Go  to 'Manage Form' list.
2. Click on List action.
3. Click on "Manage Respondent"
4. Fill required data.
5. Click on "Ok"
6. Modify Respondent set</v>
      </c>
      <c r="M13" s="7" t="str">
        <f>IFERROR(__xludf.DUMMYFUNCTION("""COMPUTED_VALUE"""),"Modification should be done properly.")</f>
        <v>Modification should be done properly.</v>
      </c>
      <c r="N13" s="7" t="str">
        <f>IFERROR(__xludf.DUMMYFUNCTION("""COMPUTED_VALUE"""),"Follow Standard Message sheet.")</f>
        <v>Follow Standard Message sheet.</v>
      </c>
      <c r="O13" s="7" t="str">
        <f>IFERROR(__xludf.DUMMYFUNCTION("""COMPUTED_VALUE"""),"Message ""Respodents updated Successfully."" should be changed to ""Saved successfully""")</f>
        <v>Message "Respodents updated Successfully." should be changed to "Saved successfully"</v>
      </c>
      <c r="P13" s="7" t="str">
        <f>IFERROR(__xludf.DUMMYFUNCTION("""COMPUTED_VALUE"""),"Fail")</f>
        <v>Fail</v>
      </c>
      <c r="Q13" s="7" t="str">
        <f>IFERROR(__xludf.DUMMYFUNCTION("""COMPUTED_VALUE"""),"Jaikishan")</f>
        <v>Jaikishan</v>
      </c>
      <c r="R13" s="8">
        <f>IFERROR(__xludf.DUMMYFUNCTION("""COMPUTED_VALUE"""),43791.0)</f>
        <v>43791</v>
      </c>
      <c r="S13" s="7" t="str">
        <f>IFERROR(__xludf.DUMMYFUNCTION("""COMPUTED_VALUE"""),"TR2019_W47")</f>
        <v>TR2019_W47</v>
      </c>
      <c r="T13" s="9" t="s">
        <v>10</v>
      </c>
      <c r="U13" s="7"/>
      <c r="V13" s="9" t="s">
        <v>39</v>
      </c>
      <c r="W13" s="9" t="s">
        <v>50</v>
      </c>
      <c r="X13" s="7"/>
      <c r="Y13" s="7"/>
      <c r="Z13" s="7"/>
    </row>
    <row r="14">
      <c r="A14" s="7" t="str">
        <f>IFERROR(__xludf.DUMMYFUNCTION("""COMPUTED_VALUE"""),"TCM_dKosh_General_SMF1_023_029")</f>
        <v>TCM_dKosh_General_SMF1_023_029</v>
      </c>
      <c r="B14" s="7" t="str">
        <f>IFERROR(__xludf.DUMMYFUNCTION("""COMPUTED_VALUE"""),"TP_dKosh_General_SMF1_023")</f>
        <v>TP_dKosh_General_SMF1_023</v>
      </c>
      <c r="C14" s="7">
        <f>IFERROR(__xludf.DUMMYFUNCTION("""COMPUTED_VALUE"""),29.0)</f>
        <v>29</v>
      </c>
      <c r="D14" s="7" t="str">
        <f>IFERROR(__xludf.DUMMYFUNCTION("""COMPUTED_VALUE"""),"")</f>
        <v/>
      </c>
      <c r="E14" s="7" t="str">
        <f>IFERROR(__xludf.DUMMYFUNCTION("""COMPUTED_VALUE"""),"Manage Respondent")</f>
        <v>Manage Respondent</v>
      </c>
      <c r="F14" s="7" t="str">
        <f>IFERROR(__xludf.DUMMYFUNCTION("""COMPUTED_VALUE"""),"Manage Respondent List")</f>
        <v>Manage Respondent List</v>
      </c>
      <c r="G14" s="7" t="str">
        <f>IFERROR(__xludf.DUMMYFUNCTION("""COMPUTED_VALUE"""),"M")</f>
        <v>M</v>
      </c>
      <c r="H14" s="7" t="str">
        <f>IFERROR(__xludf.DUMMYFUNCTION("""COMPUTED_VALUE"""),"Jaikishan")</f>
        <v>Jaikishan</v>
      </c>
      <c r="I14" s="7" t="str">
        <f>IFERROR(__xludf.DUMMYFUNCTION("""COMPUTED_VALUE"""),"Integration")</f>
        <v>Integration</v>
      </c>
      <c r="J14" s="7" t="str">
        <f>IFERROR(__xludf.DUMMYFUNCTION("""COMPUTED_VALUE"""),"")</f>
        <v/>
      </c>
      <c r="K14" s="7" t="str">
        <f>IFERROR(__xludf.DUMMYFUNCTION("""COMPUTED_VALUE"""),"Verify, Available From date less than Form Available From date.")</f>
        <v>Verify, Available From date less than Form Available From date.</v>
      </c>
      <c r="L14" s="7" t="str">
        <f>IFERROR(__xludf.DUMMYFUNCTION("""COMPUTED_VALUE"""),"")</f>
        <v/>
      </c>
      <c r="M14" s="7" t="str">
        <f>IFERROR(__xludf.DUMMYFUNCTION("""COMPUTED_VALUE"""),"""Available From date should be greater than Form date""")</f>
        <v>"Available From date should be greater than Form date"</v>
      </c>
      <c r="N14" s="7" t="str">
        <f>IFERROR(__xludf.DUMMYFUNCTION("""COMPUTED_VALUE"""),"")</f>
        <v/>
      </c>
      <c r="O14" s="7" t="str">
        <f>IFERROR(__xludf.DUMMYFUNCTION("""COMPUTED_VALUE"""),"Saved respondent any date.
")</f>
        <v>Saved respondent any date.
</v>
      </c>
      <c r="P14" s="7" t="str">
        <f>IFERROR(__xludf.DUMMYFUNCTION("""COMPUTED_VALUE"""),"Fail")</f>
        <v>Fail</v>
      </c>
      <c r="Q14" s="7" t="str">
        <f>IFERROR(__xludf.DUMMYFUNCTION("""COMPUTED_VALUE"""),"Jaikishan")</f>
        <v>Jaikishan</v>
      </c>
      <c r="R14" s="8">
        <f>IFERROR(__xludf.DUMMYFUNCTION("""COMPUTED_VALUE"""),43791.0)</f>
        <v>43791</v>
      </c>
      <c r="S14" s="7" t="str">
        <f>IFERROR(__xludf.DUMMYFUNCTION("""COMPUTED_VALUE"""),"TR2019_W47")</f>
        <v>TR2019_W47</v>
      </c>
      <c r="T14" s="9" t="s">
        <v>10</v>
      </c>
      <c r="U14" s="7"/>
      <c r="V14" s="9" t="s">
        <v>15</v>
      </c>
      <c r="W14" s="9" t="s">
        <v>51</v>
      </c>
      <c r="X14" s="7"/>
      <c r="Y14" s="7"/>
      <c r="Z14" s="7"/>
    </row>
    <row r="15">
      <c r="A15" s="7" t="str">
        <f>IFERROR(__xludf.DUMMYFUNCTION("""COMPUTED_VALUE"""),"TCM_dKosh_General_SMF1_023_030")</f>
        <v>TCM_dKosh_General_SMF1_023_030</v>
      </c>
      <c r="B15" s="7" t="str">
        <f>IFERROR(__xludf.DUMMYFUNCTION("""COMPUTED_VALUE"""),"TP_dKosh_General_SMF1_023")</f>
        <v>TP_dKosh_General_SMF1_023</v>
      </c>
      <c r="C15" s="7">
        <f>IFERROR(__xludf.DUMMYFUNCTION("""COMPUTED_VALUE"""),30.0)</f>
        <v>30</v>
      </c>
      <c r="D15" s="7" t="str">
        <f>IFERROR(__xludf.DUMMYFUNCTION("""COMPUTED_VALUE"""),"")</f>
        <v/>
      </c>
      <c r="E15" s="7" t="str">
        <f>IFERROR(__xludf.DUMMYFUNCTION("""COMPUTED_VALUE"""),"Manage Respondent")</f>
        <v>Manage Respondent</v>
      </c>
      <c r="F15" s="7" t="str">
        <f>IFERROR(__xludf.DUMMYFUNCTION("""COMPUTED_VALUE"""),"Manage Respondent List")</f>
        <v>Manage Respondent List</v>
      </c>
      <c r="G15" s="7" t="str">
        <f>IFERROR(__xludf.DUMMYFUNCTION("""COMPUTED_VALUE"""),"M")</f>
        <v>M</v>
      </c>
      <c r="H15" s="7" t="str">
        <f>IFERROR(__xludf.DUMMYFUNCTION("""COMPUTED_VALUE"""),"Jaikishan")</f>
        <v>Jaikishan</v>
      </c>
      <c r="I15" s="7" t="str">
        <f>IFERROR(__xludf.DUMMYFUNCTION("""COMPUTED_VALUE"""),"Integration")</f>
        <v>Integration</v>
      </c>
      <c r="J15" s="7" t="str">
        <f>IFERROR(__xludf.DUMMYFUNCTION("""COMPUTED_VALUE"""),"")</f>
        <v/>
      </c>
      <c r="K15" s="7" t="str">
        <f>IFERROR(__xludf.DUMMYFUNCTION("""COMPUTED_VALUE"""),"Verify Available Upto Date greater than Form Available Upto date.")</f>
        <v>Verify Available Upto Date greater than Form Available Upto date.</v>
      </c>
      <c r="L15" s="7" t="str">
        <f>IFERROR(__xludf.DUMMYFUNCTION("""COMPUTED_VALUE"""),"")</f>
        <v/>
      </c>
      <c r="M15" s="7" t="str">
        <f>IFERROR(__xludf.DUMMYFUNCTION("""COMPUTED_VALUE"""),"""Available Upto date should be less than Form Upto date""")</f>
        <v>"Available Upto date should be less than Form Upto date"</v>
      </c>
      <c r="N15" s="7" t="str">
        <f>IFERROR(__xludf.DUMMYFUNCTION("""COMPUTED_VALUE"""),"")</f>
        <v/>
      </c>
      <c r="O15" s="7" t="str">
        <f>IFERROR(__xludf.DUMMYFUNCTION("""COMPUTED_VALUE"""),"Saved respondent any date.
")</f>
        <v>Saved respondent any date.
</v>
      </c>
      <c r="P15" s="7" t="str">
        <f>IFERROR(__xludf.DUMMYFUNCTION("""COMPUTED_VALUE"""),"Fail")</f>
        <v>Fail</v>
      </c>
      <c r="Q15" s="7" t="str">
        <f>IFERROR(__xludf.DUMMYFUNCTION("""COMPUTED_VALUE"""),"Jaikishan")</f>
        <v>Jaikishan</v>
      </c>
      <c r="R15" s="8">
        <f>IFERROR(__xludf.DUMMYFUNCTION("""COMPUTED_VALUE"""),43791.0)</f>
        <v>43791</v>
      </c>
      <c r="S15" s="7" t="str">
        <f>IFERROR(__xludf.DUMMYFUNCTION("""COMPUTED_VALUE"""),"TR2019_W47")</f>
        <v>TR2019_W47</v>
      </c>
      <c r="T15" s="9" t="s">
        <v>10</v>
      </c>
      <c r="U15" s="7"/>
      <c r="V15" s="9" t="s">
        <v>39</v>
      </c>
      <c r="W15" s="9" t="s">
        <v>53</v>
      </c>
      <c r="X15" s="7"/>
      <c r="Y15" s="7"/>
      <c r="Z15" s="7"/>
    </row>
    <row r="16">
      <c r="A16" s="7"/>
      <c r="B16" s="7"/>
      <c r="C16" s="7"/>
      <c r="D16" s="7"/>
      <c r="E16" s="7"/>
      <c r="F16" s="7"/>
      <c r="G16" s="7"/>
      <c r="H16" s="7"/>
      <c r="I16" s="7"/>
      <c r="J16" s="7"/>
      <c r="K16" s="7"/>
      <c r="L16" s="7"/>
      <c r="M16" s="7"/>
      <c r="N16" s="7"/>
      <c r="O16" s="7"/>
      <c r="P16" s="7"/>
      <c r="Q16" s="7"/>
      <c r="R16" s="7"/>
      <c r="S16" s="7"/>
      <c r="T16" s="7"/>
      <c r="U16" s="7"/>
      <c r="V16" s="7"/>
      <c r="W16" s="7"/>
      <c r="X16" s="7"/>
      <c r="Y16" s="7"/>
      <c r="Z16" s="7"/>
    </row>
    <row r="17">
      <c r="A17" s="7"/>
      <c r="B17" s="7"/>
      <c r="C17" s="7"/>
      <c r="D17" s="7"/>
      <c r="E17" s="7"/>
      <c r="F17" s="7"/>
      <c r="G17" s="7"/>
      <c r="H17" s="7"/>
      <c r="I17" s="7"/>
      <c r="J17" s="7"/>
      <c r="K17" s="7"/>
      <c r="L17" s="7"/>
      <c r="M17" s="7"/>
      <c r="N17" s="7"/>
      <c r="O17" s="7"/>
      <c r="P17" s="7"/>
      <c r="Q17" s="7"/>
      <c r="R17" s="7"/>
      <c r="S17" s="7"/>
      <c r="T17" s="7"/>
      <c r="U17" s="7"/>
      <c r="V17" s="7"/>
      <c r="W17" s="7"/>
      <c r="X17" s="7"/>
      <c r="Y17" s="7"/>
      <c r="Z17" s="7"/>
    </row>
    <row r="18">
      <c r="A18" s="7"/>
      <c r="B18" s="7"/>
      <c r="C18" s="7"/>
      <c r="D18" s="7"/>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86"/>
    <col customWidth="1" min="2" max="2" width="22.57"/>
    <col customWidth="1" min="3" max="3" width="11.0"/>
    <col customWidth="1" min="11" max="11" width="30.71"/>
    <col customWidth="1" hidden="1" min="12" max="12" width="33.29"/>
    <col customWidth="1" min="13" max="13" width="29.57"/>
    <col hidden="1" min="14" max="14" width="14.43"/>
    <col customWidth="1" min="15" max="15" width="29.71"/>
  </cols>
  <sheetData>
    <row r="1">
      <c r="A1" s="1" t="str">
        <f>IFERROR(__xludf.DUMMYFUNCTION("Query(IMPORTRANGE(""https://docs.google.com/spreadsheets/d/1jEbAG0bEllXTKAGJlqI8FhpDdA5pI2ez4m_dRKlp78w/edit#gid=2057386757"", ""TC - Create Question!A2:S""), ""select * where Col16= 'Fail' OR Col16= '?'"")"),"Test Case ID")</f>
        <v>Test Case ID</v>
      </c>
      <c r="B1" s="2" t="str">
        <f>IFERROR(__xludf.DUMMYFUNCTION("""COMPUTED_VALUE"""),"Test Plan ID")</f>
        <v>Test Plan ID</v>
      </c>
      <c r="C1" s="2" t="str">
        <f>IFERROR(__xludf.DUMMYFUNCTION("""COMPUTED_VALUE"""),"TC #")</f>
        <v>TC #</v>
      </c>
      <c r="D1" s="2" t="str">
        <f>IFERROR(__xludf.DUMMYFUNCTION("""COMPUTED_VALUE"""),"Platform")</f>
        <v>Platform</v>
      </c>
      <c r="E1" s="2" t="str">
        <f>IFERROR(__xludf.DUMMYFUNCTION("""COMPUTED_VALUE"""),"Sub Feature Modules")</f>
        <v>Sub Feature Modules</v>
      </c>
      <c r="F1" s="2" t="str">
        <f>IFERROR(__xludf.DUMMYFUNCTION("""COMPUTED_VALUE"""),"Action")</f>
        <v>Action</v>
      </c>
      <c r="G1" s="2" t="str">
        <f>IFERROR(__xludf.DUMMYFUNCTION("""COMPUTED_VALUE"""),"Test Mode")</f>
        <v>Test Mode</v>
      </c>
      <c r="H1" s="2" t="str">
        <f>IFERROR(__xludf.DUMMYFUNCTION("""COMPUTED_VALUE"""),"Created By")</f>
        <v>Created By</v>
      </c>
      <c r="I1" s="2" t="str">
        <f>IFERROR(__xludf.DUMMYFUNCTION("""COMPUTED_VALUE"""),"Test Case Type")</f>
        <v>Test Case Type</v>
      </c>
      <c r="J1" s="2" t="str">
        <f>IFERROR(__xludf.DUMMYFUNCTION("""COMPUTED_VALUE"""),"Pre Condition")</f>
        <v>Pre Condition</v>
      </c>
      <c r="K1" s="2" t="str">
        <f>IFERROR(__xludf.DUMMYFUNCTION("""COMPUTED_VALUE"""),"Test Case Description")</f>
        <v>Test Case Description</v>
      </c>
      <c r="L1" s="2" t="str">
        <f>IFERROR(__xludf.DUMMYFUNCTION("""COMPUTED_VALUE"""),"Steps")</f>
        <v>Steps</v>
      </c>
      <c r="M1" s="2" t="str">
        <f>IFERROR(__xludf.DUMMYFUNCTION("""COMPUTED_VALUE"""),"Expected Result")</f>
        <v>Expected Result</v>
      </c>
      <c r="N1" s="2" t="str">
        <f>IFERROR(__xludf.DUMMYFUNCTION("""COMPUTED_VALUE"""),"Conditions / Formula")</f>
        <v>Conditions / Formula</v>
      </c>
      <c r="O1" s="2" t="str">
        <f>IFERROR(__xludf.DUMMYFUNCTION("""COMPUTED_VALUE"""),"Actual Result")</f>
        <v>Actual Result</v>
      </c>
      <c r="P1" s="2" t="str">
        <f>IFERROR(__xludf.DUMMYFUNCTION("""COMPUTED_VALUE"""),"Pass/Fail")</f>
        <v>Pass/Fail</v>
      </c>
      <c r="Q1" s="2" t="str">
        <f>IFERROR(__xludf.DUMMYFUNCTION("""COMPUTED_VALUE"""),"Executed By")</f>
        <v>Executed By</v>
      </c>
      <c r="R1" s="2" t="str">
        <f>IFERROR(__xludf.DUMMYFUNCTION("""COMPUTED_VALUE"""),"Date Execution")</f>
        <v>Date Execution</v>
      </c>
      <c r="S1" s="2" t="str">
        <f>IFERROR(__xludf.DUMMYFUNCTION("""COMPUTED_VALUE"""),"Release")</f>
        <v>Release</v>
      </c>
      <c r="T1" s="5" t="s">
        <v>0</v>
      </c>
      <c r="U1" s="5" t="s">
        <v>1</v>
      </c>
      <c r="V1" s="13" t="s">
        <v>63</v>
      </c>
      <c r="W1" s="13" t="s">
        <v>64</v>
      </c>
      <c r="X1" s="7"/>
      <c r="Y1" s="7"/>
      <c r="Z1" s="7"/>
    </row>
    <row r="2">
      <c r="A2" s="7" t="str">
        <f>IFERROR(__xludf.DUMMYFUNCTION("""COMPUTED_VALUE"""),"TCM_dKosh_General_SMF1_018_001")</f>
        <v>TCM_dKosh_General_SMF1_018_001</v>
      </c>
      <c r="B2" s="7" t="str">
        <f>IFERROR(__xludf.DUMMYFUNCTION("""COMPUTED_VALUE"""),"TP_dKosh_General_SMF1_018")</f>
        <v>TP_dKosh_General_SMF1_018</v>
      </c>
      <c r="C2" s="7">
        <f>IFERROR(__xludf.DUMMYFUNCTION("""COMPUTED_VALUE"""),1.0)</f>
        <v>1</v>
      </c>
      <c r="D2" s="7" t="str">
        <f>IFERROR(__xludf.DUMMYFUNCTION("""COMPUTED_VALUE"""),"Web, Mobile")</f>
        <v>Web, Mobile</v>
      </c>
      <c r="E2" s="7" t="str">
        <f>IFERROR(__xludf.DUMMYFUNCTION("""COMPUTED_VALUE"""),"Question Panel")</f>
        <v>Question Panel</v>
      </c>
      <c r="F2" s="7" t="str">
        <f>IFERROR(__xludf.DUMMYFUNCTION("""COMPUTED_VALUE"""),"Verify db table")</f>
        <v>Verify db table</v>
      </c>
      <c r="G2" s="7" t="str">
        <f>IFERROR(__xludf.DUMMYFUNCTION("""COMPUTED_VALUE"""),"M")</f>
        <v>M</v>
      </c>
      <c r="H2" s="7" t="str">
        <f>IFERROR(__xludf.DUMMYFUNCTION("""COMPUTED_VALUE"""),"Ankit")</f>
        <v>Ankit</v>
      </c>
      <c r="I2" s="7" t="str">
        <f>IFERROR(__xludf.DUMMYFUNCTION("""COMPUTED_VALUE"""),"DB")</f>
        <v>DB</v>
      </c>
      <c r="J2" s="7" t="str">
        <f>IFERROR(__xludf.DUMMYFUNCTION("""COMPUTED_VALUE"""),"")</f>
        <v/>
      </c>
      <c r="K2" s="7" t="str">
        <f>IFERROR(__xludf.DUMMYFUNCTION("""COMPUTED_VALUE"""),"Verify the Columns name of tbl_sf_form_question table with ERP database sheet.")</f>
        <v>Verify the Columns name of tbl_sf_form_question table with ERP database sheet.</v>
      </c>
      <c r="L2" s="7" t="str">
        <f>IFERROR(__xludf.DUMMYFUNCTION("""COMPUTED_VALUE"""),"1. Open database
2. Verify values")</f>
        <v>1. Open database
2. Verify values</v>
      </c>
      <c r="M2" s="7" t="str">
        <f>IFERROR(__xludf.DUMMYFUNCTION("""COMPUTED_VALUE"""),"All values should be matched")</f>
        <v>All values should be matched</v>
      </c>
      <c r="N2" s="7" t="str">
        <f>IFERROR(__xludf.DUMMYFUNCTION("""COMPUTED_VALUE"""),"")</f>
        <v/>
      </c>
      <c r="O2" s="7" t="str">
        <f>IFERROR(__xludf.DUMMYFUNCTION("""COMPUTED_VALUE"""),"Int_sf_master_question_id")</f>
        <v>Int_sf_master_question_id</v>
      </c>
      <c r="P2" s="7" t="str">
        <f>IFERROR(__xludf.DUMMYFUNCTION("""COMPUTED_VALUE"""),"Fail")</f>
        <v>Fail</v>
      </c>
      <c r="Q2" s="7" t="str">
        <f>IFERROR(__xludf.DUMMYFUNCTION("""COMPUTED_VALUE"""),"Jaikishan")</f>
        <v>Jaikishan</v>
      </c>
      <c r="R2" s="8">
        <f>IFERROR(__xludf.DUMMYFUNCTION("""COMPUTED_VALUE"""),43795.0)</f>
        <v>43795</v>
      </c>
      <c r="S2" s="7" t="str">
        <f>IFERROR(__xludf.DUMMYFUNCTION("""COMPUTED_VALUE"""),"")</f>
        <v/>
      </c>
      <c r="T2" s="9" t="s">
        <v>65</v>
      </c>
      <c r="U2" s="7"/>
      <c r="V2" s="7"/>
      <c r="W2" s="9" t="s">
        <v>66</v>
      </c>
      <c r="X2" s="7"/>
      <c r="Y2" s="7"/>
      <c r="Z2" s="7"/>
    </row>
    <row r="3">
      <c r="A3" s="7" t="str">
        <f>IFERROR(__xludf.DUMMYFUNCTION("""COMPUTED_VALUE"""),"TCM_dKosh_General_SMF1_018_002")</f>
        <v>TCM_dKosh_General_SMF1_018_002</v>
      </c>
      <c r="B3" s="7" t="str">
        <f>IFERROR(__xludf.DUMMYFUNCTION("""COMPUTED_VALUE"""),"TP_dKosh_General_SMF1_018")</f>
        <v>TP_dKosh_General_SMF1_018</v>
      </c>
      <c r="C3" s="7">
        <f>IFERROR(__xludf.DUMMYFUNCTION("""COMPUTED_VALUE"""),2.0)</f>
        <v>2</v>
      </c>
      <c r="D3" s="7" t="str">
        <f>IFERROR(__xludf.DUMMYFUNCTION("""COMPUTED_VALUE"""),"Web, Mobile")</f>
        <v>Web, Mobile</v>
      </c>
      <c r="E3" s="7" t="str">
        <f>IFERROR(__xludf.DUMMYFUNCTION("""COMPUTED_VALUE"""),"Question Panel")</f>
        <v>Question Panel</v>
      </c>
      <c r="F3" s="7" t="str">
        <f>IFERROR(__xludf.DUMMYFUNCTION("""COMPUTED_VALUE"""),"Verify db table")</f>
        <v>Verify db table</v>
      </c>
      <c r="G3" s="7" t="str">
        <f>IFERROR(__xludf.DUMMYFUNCTION("""COMPUTED_VALUE"""),"M")</f>
        <v>M</v>
      </c>
      <c r="H3" s="7" t="str">
        <f>IFERROR(__xludf.DUMMYFUNCTION("""COMPUTED_VALUE"""),"Ankit")</f>
        <v>Ankit</v>
      </c>
      <c r="I3" s="7" t="str">
        <f>IFERROR(__xludf.DUMMYFUNCTION("""COMPUTED_VALUE"""),"DB")</f>
        <v>DB</v>
      </c>
      <c r="J3" s="7" t="str">
        <f>IFERROR(__xludf.DUMMYFUNCTION("""COMPUTED_VALUE"""),"")</f>
        <v/>
      </c>
      <c r="K3" s="7" t="str">
        <f>IFERROR(__xludf.DUMMYFUNCTION("""COMPUTED_VALUE"""),"Verify the Key(Primary/Foreign ) of columns in tbl_sf_form_question table with ERP database sheet.")</f>
        <v>Verify the Key(Primary/Foreign ) of columns in tbl_sf_form_question table with ERP database sheet.</v>
      </c>
      <c r="L3" s="7" t="str">
        <f>IFERROR(__xludf.DUMMYFUNCTION("""COMPUTED_VALUE"""),"1. Open database
2. Verify values")</f>
        <v>1. Open database
2. Verify values</v>
      </c>
      <c r="M3" s="7" t="str">
        <f>IFERROR(__xludf.DUMMYFUNCTION("""COMPUTED_VALUE"""),"All values should be matched")</f>
        <v>All values should be matched</v>
      </c>
      <c r="N3" s="7" t="str">
        <f>IFERROR(__xludf.DUMMYFUNCTION("""COMPUTED_VALUE"""),"")</f>
        <v/>
      </c>
      <c r="O3" s="7" t="str">
        <f>IFERROR(__xludf.DUMMYFUNCTION("""COMPUTED_VALUE"""),"Foreign key relation is not added in int_sf_form_section_id")</f>
        <v>Foreign key relation is not added in int_sf_form_section_id</v>
      </c>
      <c r="P3" s="7" t="str">
        <f>IFERROR(__xludf.DUMMYFUNCTION("""COMPUTED_VALUE"""),"Fail")</f>
        <v>Fail</v>
      </c>
      <c r="Q3" s="7" t="str">
        <f>IFERROR(__xludf.DUMMYFUNCTION("""COMPUTED_VALUE"""),"Jaikishan")</f>
        <v>Jaikishan</v>
      </c>
      <c r="R3" s="8">
        <f>IFERROR(__xludf.DUMMYFUNCTION("""COMPUTED_VALUE"""),43795.0)</f>
        <v>43795</v>
      </c>
      <c r="S3" s="7" t="str">
        <f>IFERROR(__xludf.DUMMYFUNCTION("""COMPUTED_VALUE"""),"")</f>
        <v/>
      </c>
      <c r="T3" s="9" t="s">
        <v>10</v>
      </c>
      <c r="U3" s="7"/>
      <c r="V3" s="7"/>
      <c r="W3" s="9" t="s">
        <v>66</v>
      </c>
      <c r="X3" s="7"/>
      <c r="Y3" s="7"/>
      <c r="Z3" s="7"/>
    </row>
    <row r="4">
      <c r="A4" s="7" t="str">
        <f>IFERROR(__xludf.DUMMYFUNCTION("""COMPUTED_VALUE"""),"TCM_dKosh_General_SMF1_018_005")</f>
        <v>TCM_dKosh_General_SMF1_018_005</v>
      </c>
      <c r="B4" s="7" t="str">
        <f>IFERROR(__xludf.DUMMYFUNCTION("""COMPUTED_VALUE"""),"TP_dKosh_General_SMF1_018")</f>
        <v>TP_dKosh_General_SMF1_018</v>
      </c>
      <c r="C4" s="7">
        <f>IFERROR(__xludf.DUMMYFUNCTION("""COMPUTED_VALUE"""),5.0)</f>
        <v>5</v>
      </c>
      <c r="D4" s="7" t="str">
        <f>IFERROR(__xludf.DUMMYFUNCTION("""COMPUTED_VALUE"""),"Web, Mobile")</f>
        <v>Web, Mobile</v>
      </c>
      <c r="E4" s="7" t="str">
        <f>IFERROR(__xludf.DUMMYFUNCTION("""COMPUTED_VALUE"""),"Question Panel")</f>
        <v>Question Panel</v>
      </c>
      <c r="F4" s="7" t="str">
        <f>IFERROR(__xludf.DUMMYFUNCTION("""COMPUTED_VALUE"""),"Verify db table")</f>
        <v>Verify db table</v>
      </c>
      <c r="G4" s="7" t="str">
        <f>IFERROR(__xludf.DUMMYFUNCTION("""COMPUTED_VALUE"""),"M")</f>
        <v>M</v>
      </c>
      <c r="H4" s="7" t="str">
        <f>IFERROR(__xludf.DUMMYFUNCTION("""COMPUTED_VALUE"""),"Ankit")</f>
        <v>Ankit</v>
      </c>
      <c r="I4" s="7" t="str">
        <f>IFERROR(__xludf.DUMMYFUNCTION("""COMPUTED_VALUE"""),"DB")</f>
        <v>DB</v>
      </c>
      <c r="J4" s="7" t="str">
        <f>IFERROR(__xludf.DUMMYFUNCTION("""COMPUTED_VALUE"""),"")</f>
        <v/>
      </c>
      <c r="K4" s="7" t="str">
        <f>IFERROR(__xludf.DUMMYFUNCTION("""COMPUTED_VALUE"""),"Verify the ordering of columns in tbl_sf_form_question table with ERP database sheet.")</f>
        <v>Verify the ordering of columns in tbl_sf_form_question table with ERP database sheet.</v>
      </c>
      <c r="L4" s="7" t="str">
        <f>IFERROR(__xludf.DUMMYFUNCTION("""COMPUTED_VALUE"""),"1. Open database
2. Verify values")</f>
        <v>1. Open database
2. Verify values</v>
      </c>
      <c r="M4" s="7" t="str">
        <f>IFERROR(__xludf.DUMMYFUNCTION("""COMPUTED_VALUE"""),"All values should be matched")</f>
        <v>All values should be matched</v>
      </c>
      <c r="N4" s="7" t="str">
        <f>IFERROR(__xludf.DUMMYFUNCTION("""COMPUTED_VALUE"""),"")</f>
        <v/>
      </c>
      <c r="O4" s="7" t="str">
        <f>IFERROR(__xludf.DUMMYFUNCTION("""COMPUTED_VALUE"""),"Order is mismatching")</f>
        <v>Order is mismatching</v>
      </c>
      <c r="P4" s="7" t="str">
        <f>IFERROR(__xludf.DUMMYFUNCTION("""COMPUTED_VALUE"""),"Fail")</f>
        <v>Fail</v>
      </c>
      <c r="Q4" s="7" t="str">
        <f>IFERROR(__xludf.DUMMYFUNCTION("""COMPUTED_VALUE"""),"Jaikishan")</f>
        <v>Jaikishan</v>
      </c>
      <c r="R4" s="8">
        <f>IFERROR(__xludf.DUMMYFUNCTION("""COMPUTED_VALUE"""),43795.0)</f>
        <v>43795</v>
      </c>
      <c r="S4" s="7" t="str">
        <f>IFERROR(__xludf.DUMMYFUNCTION("""COMPUTED_VALUE"""),"")</f>
        <v/>
      </c>
      <c r="T4" s="7"/>
      <c r="U4" s="7"/>
      <c r="V4" s="7"/>
      <c r="W4" s="9" t="s">
        <v>66</v>
      </c>
      <c r="X4" s="7"/>
      <c r="Y4" s="7"/>
      <c r="Z4" s="7"/>
    </row>
    <row r="5">
      <c r="A5" s="7" t="str">
        <f>IFERROR(__xludf.DUMMYFUNCTION("""COMPUTED_VALUE"""),"TCM_dKosh_General_SMF1_018_012")</f>
        <v>TCM_dKosh_General_SMF1_018_012</v>
      </c>
      <c r="B5" s="7" t="str">
        <f>IFERROR(__xludf.DUMMYFUNCTION("""COMPUTED_VALUE"""),"TP_dKosh_General_SMF1_018")</f>
        <v>TP_dKosh_General_SMF1_018</v>
      </c>
      <c r="C5" s="7">
        <f>IFERROR(__xludf.DUMMYFUNCTION("""COMPUTED_VALUE"""),12.0)</f>
        <v>12</v>
      </c>
      <c r="D5" s="7" t="str">
        <f>IFERROR(__xludf.DUMMYFUNCTION("""COMPUTED_VALUE"""),"Web, Mobile")</f>
        <v>Web, Mobile</v>
      </c>
      <c r="E5" s="7" t="str">
        <f>IFERROR(__xludf.DUMMYFUNCTION("""COMPUTED_VALUE"""),"Question Panel")</f>
        <v>Question Panel</v>
      </c>
      <c r="F5" s="7" t="str">
        <f>IFERROR(__xludf.DUMMYFUNCTION("""COMPUTED_VALUE"""),"Verify db table")</f>
        <v>Verify db table</v>
      </c>
      <c r="G5" s="7" t="str">
        <f>IFERROR(__xludf.DUMMYFUNCTION("""COMPUTED_VALUE"""),"M")</f>
        <v>M</v>
      </c>
      <c r="H5" s="7" t="str">
        <f>IFERROR(__xludf.DUMMYFUNCTION("""COMPUTED_VALUE"""),"Ankit")</f>
        <v>Ankit</v>
      </c>
      <c r="I5" s="7" t="str">
        <f>IFERROR(__xludf.DUMMYFUNCTION("""COMPUTED_VALUE"""),"DB")</f>
        <v>DB</v>
      </c>
      <c r="J5" s="7" t="str">
        <f>IFERROR(__xludf.DUMMYFUNCTION("""COMPUTED_VALUE"""),"")</f>
        <v/>
      </c>
      <c r="K5" s="7" t="str">
        <f>IFERROR(__xludf.DUMMYFUNCTION("""COMPUTED_VALUE"""),"Verify the Key(Primary/Foreign ) of columns in tbl_sf_form_question_dependency table with ERP database sheet.")</f>
        <v>Verify the Key(Primary/Foreign ) of columns in tbl_sf_form_question_dependency table with ERP database sheet.</v>
      </c>
      <c r="L5" s="7" t="str">
        <f>IFERROR(__xludf.DUMMYFUNCTION("""COMPUTED_VALUE"""),"1. Open database
2. Verify values")</f>
        <v>1. Open database
2. Verify values</v>
      </c>
      <c r="M5" s="7" t="str">
        <f>IFERROR(__xludf.DUMMYFUNCTION("""COMPUTED_VALUE"""),"All values should be matched")</f>
        <v>All values should be matched</v>
      </c>
      <c r="N5" s="7" t="str">
        <f>IFERROR(__xludf.DUMMYFUNCTION("""COMPUTED_VALUE"""),"")</f>
        <v/>
      </c>
      <c r="O5" s="7" t="str">
        <f>IFERROR(__xludf.DUMMYFUNCTION("""COMPUTED_VALUE"""),"wrong foreign key relation is added on primary key
It should be added on int_depends_on_form_question_id. ")</f>
        <v>wrong foreign key relation is added on primary key
It should be added on int_depends_on_form_question_id. </v>
      </c>
      <c r="P5" s="7" t="str">
        <f>IFERROR(__xludf.DUMMYFUNCTION("""COMPUTED_VALUE"""),"Fail")</f>
        <v>Fail</v>
      </c>
      <c r="Q5" s="7" t="str">
        <f>IFERROR(__xludf.DUMMYFUNCTION("""COMPUTED_VALUE"""),"Jaikishan")</f>
        <v>Jaikishan</v>
      </c>
      <c r="R5" s="8">
        <f>IFERROR(__xludf.DUMMYFUNCTION("""COMPUTED_VALUE"""),43795.0)</f>
        <v>43795</v>
      </c>
      <c r="S5" s="7" t="str">
        <f>IFERROR(__xludf.DUMMYFUNCTION("""COMPUTED_VALUE"""),"")</f>
        <v/>
      </c>
      <c r="T5" s="9" t="s">
        <v>10</v>
      </c>
      <c r="U5" s="7"/>
      <c r="V5" s="7"/>
      <c r="W5" s="9" t="s">
        <v>66</v>
      </c>
      <c r="X5" s="7"/>
      <c r="Y5" s="7"/>
      <c r="Z5" s="7"/>
    </row>
    <row r="6">
      <c r="A6" s="7" t="str">
        <f>IFERROR(__xludf.DUMMYFUNCTION("""COMPUTED_VALUE"""),"TCM_dKosh_General_SMF1_018_014")</f>
        <v>TCM_dKosh_General_SMF1_018_014</v>
      </c>
      <c r="B6" s="7" t="str">
        <f>IFERROR(__xludf.DUMMYFUNCTION("""COMPUTED_VALUE"""),"TP_dKosh_General_SMF1_018")</f>
        <v>TP_dKosh_General_SMF1_018</v>
      </c>
      <c r="C6" s="7">
        <f>IFERROR(__xludf.DUMMYFUNCTION("""COMPUTED_VALUE"""),14.0)</f>
        <v>14</v>
      </c>
      <c r="D6" s="7" t="str">
        <f>IFERROR(__xludf.DUMMYFUNCTION("""COMPUTED_VALUE"""),"Web, Mobile")</f>
        <v>Web, Mobile</v>
      </c>
      <c r="E6" s="7" t="str">
        <f>IFERROR(__xludf.DUMMYFUNCTION("""COMPUTED_VALUE"""),"Question Panel")</f>
        <v>Question Panel</v>
      </c>
      <c r="F6" s="7" t="str">
        <f>IFERROR(__xludf.DUMMYFUNCTION("""COMPUTED_VALUE"""),"Verify db table")</f>
        <v>Verify db table</v>
      </c>
      <c r="G6" s="7" t="str">
        <f>IFERROR(__xludf.DUMMYFUNCTION("""COMPUTED_VALUE"""),"M")</f>
        <v>M</v>
      </c>
      <c r="H6" s="7" t="str">
        <f>IFERROR(__xludf.DUMMYFUNCTION("""COMPUTED_VALUE"""),"Ankit")</f>
        <v>Ankit</v>
      </c>
      <c r="I6" s="7" t="str">
        <f>IFERROR(__xludf.DUMMYFUNCTION("""COMPUTED_VALUE"""),"DB")</f>
        <v>DB</v>
      </c>
      <c r="J6" s="7" t="str">
        <f>IFERROR(__xludf.DUMMYFUNCTION("""COMPUTED_VALUE"""),"")</f>
        <v/>
      </c>
      <c r="K6" s="7" t="str">
        <f>IFERROR(__xludf.DUMMYFUNCTION("""COMPUTED_VALUE"""),"Verify the Allow Null and default values of columns in tbl_sf_form_question_dependency table with ERP database sheet.")</f>
        <v>Verify the Allow Null and default values of columns in tbl_sf_form_question_dependency table with ERP database sheet.</v>
      </c>
      <c r="L6" s="7" t="str">
        <f>IFERROR(__xludf.DUMMYFUNCTION("""COMPUTED_VALUE"""),"1. Open database
2. Verify values")</f>
        <v>1. Open database
2. Verify values</v>
      </c>
      <c r="M6" s="7" t="str">
        <f>IFERROR(__xludf.DUMMYFUNCTION("""COMPUTED_VALUE"""),"All values should be matched")</f>
        <v>All values should be matched</v>
      </c>
      <c r="N6" s="7" t="str">
        <f>IFERROR(__xludf.DUMMYFUNCTION("""COMPUTED_VALUE"""),"")</f>
        <v/>
      </c>
      <c r="O6" s="7" t="str">
        <f>IFERROR(__xludf.DUMMYFUNCTION("""COMPUTED_VALUE"""),"Mismatch from sheet.
txt_show_for_choice_ids
int_sf_form_section_id")</f>
        <v>Mismatch from sheet.
txt_show_for_choice_ids
int_sf_form_section_id</v>
      </c>
      <c r="P6" s="7" t="str">
        <f>IFERROR(__xludf.DUMMYFUNCTION("""COMPUTED_VALUE"""),"Fail")</f>
        <v>Fail</v>
      </c>
      <c r="Q6" s="7" t="str">
        <f>IFERROR(__xludf.DUMMYFUNCTION("""COMPUTED_VALUE"""),"Jaikishan")</f>
        <v>Jaikishan</v>
      </c>
      <c r="R6" s="8">
        <f>IFERROR(__xludf.DUMMYFUNCTION("""COMPUTED_VALUE"""),43795.0)</f>
        <v>43795</v>
      </c>
      <c r="S6" s="7" t="str">
        <f>IFERROR(__xludf.DUMMYFUNCTION("""COMPUTED_VALUE"""),"")</f>
        <v/>
      </c>
      <c r="T6" s="9" t="s">
        <v>10</v>
      </c>
      <c r="U6" s="7"/>
      <c r="V6" s="7"/>
      <c r="W6" s="9" t="s">
        <v>66</v>
      </c>
      <c r="X6" s="7"/>
      <c r="Y6" s="7"/>
      <c r="Z6" s="7"/>
    </row>
    <row r="7">
      <c r="A7" s="7" t="str">
        <f>IFERROR(__xludf.DUMMYFUNCTION("""COMPUTED_VALUE"""),"TCM_dKosh_General_SMF1_018_019")</f>
        <v>TCM_dKosh_General_SMF1_018_019</v>
      </c>
      <c r="B7" s="7" t="str">
        <f>IFERROR(__xludf.DUMMYFUNCTION("""COMPUTED_VALUE"""),"TP_dKosh_General_SMF1_018")</f>
        <v>TP_dKosh_General_SMF1_018</v>
      </c>
      <c r="C7" s="7">
        <f>IFERROR(__xludf.DUMMYFUNCTION("""COMPUTED_VALUE"""),19.0)</f>
        <v>19</v>
      </c>
      <c r="D7" s="7" t="str">
        <f>IFERROR(__xludf.DUMMYFUNCTION("""COMPUTED_VALUE"""),"Web, Mobile")</f>
        <v>Web, Mobile</v>
      </c>
      <c r="E7" s="7" t="str">
        <f>IFERROR(__xludf.DUMMYFUNCTION("""COMPUTED_VALUE"""),"Question Panel")</f>
        <v>Question Panel</v>
      </c>
      <c r="F7" s="7" t="str">
        <f>IFERROR(__xludf.DUMMYFUNCTION("""COMPUTED_VALUE"""),"Create Question")</f>
        <v>Create Question</v>
      </c>
      <c r="G7" s="7" t="str">
        <f>IFERROR(__xludf.DUMMYFUNCTION("""COMPUTED_VALUE"""),"M")</f>
        <v>M</v>
      </c>
      <c r="H7" s="7" t="str">
        <f>IFERROR(__xludf.DUMMYFUNCTION("""COMPUTED_VALUE"""),"Ankit")</f>
        <v>Ankit</v>
      </c>
      <c r="I7" s="7" t="str">
        <f>IFERROR(__xludf.DUMMYFUNCTION("""COMPUTED_VALUE"""),"Functional")</f>
        <v>Functional</v>
      </c>
      <c r="J7" s="7" t="str">
        <f>IFERROR(__xludf.DUMMYFUNCTION("""COMPUTED_VALUE"""),"")</f>
        <v/>
      </c>
      <c r="K7" s="7" t="str">
        <f>IFERROR(__xludf.DUMMYFUNCTION("""COMPUTED_VALUE"""),"Verify the Question is inserting in Section after selecting any question type.")</f>
        <v>Verify the Question is inserting in Section after selecting any question type.</v>
      </c>
      <c r="L7" s="7" t="str">
        <f>IFERROR(__xludf.DUMMYFUNCTION("""COMPUTED_VALUE"""),"1. Go to manage form list.
2. Select a form.
3. Click on Create Question.
4. Select question type.")</f>
        <v>1. Go to manage form list.
2. Select a form.
3. Click on Create Question.
4. Select question type.</v>
      </c>
      <c r="M7" s="7" t="str">
        <f>IFERROR(__xludf.DUMMYFUNCTION("""COMPUTED_VALUE"""),"Question should be inserted in Section.")</f>
        <v>Question should be inserted in Section.</v>
      </c>
      <c r="N7" s="7" t="str">
        <f>IFERROR(__xludf.DUMMYFUNCTION("""COMPUTED_VALUE"""),"")</f>
        <v/>
      </c>
      <c r="O7" s="7" t="str">
        <f>IFERROR(__xludf.DUMMYFUNCTION("""COMPUTED_VALUE"""),"Question inserted but Sequence number starting from 2 when delete and add question")</f>
        <v>Question inserted but Sequence number starting from 2 when delete and add question</v>
      </c>
      <c r="P7" s="7" t="str">
        <f>IFERROR(__xludf.DUMMYFUNCTION("""COMPUTED_VALUE"""),"Fail")</f>
        <v>Fail</v>
      </c>
      <c r="Q7" s="7" t="str">
        <f>IFERROR(__xludf.DUMMYFUNCTION("""COMPUTED_VALUE"""),"Jaikishan")</f>
        <v>Jaikishan</v>
      </c>
      <c r="R7" s="8">
        <f>IFERROR(__xludf.DUMMYFUNCTION("""COMPUTED_VALUE"""),43795.0)</f>
        <v>43795</v>
      </c>
      <c r="S7" s="7" t="str">
        <f>IFERROR(__xludf.DUMMYFUNCTION("""COMPUTED_VALUE"""),"")</f>
        <v/>
      </c>
      <c r="T7" s="9" t="s">
        <v>67</v>
      </c>
      <c r="U7" s="7"/>
      <c r="V7" s="9" t="s">
        <v>11</v>
      </c>
      <c r="W7" s="9" t="s">
        <v>66</v>
      </c>
      <c r="X7" s="7"/>
      <c r="Y7" s="7"/>
      <c r="Z7" s="7"/>
    </row>
    <row r="8">
      <c r="A8" s="7" t="str">
        <f>IFERROR(__xludf.DUMMYFUNCTION("""COMPUTED_VALUE"""),"TCM_dKosh_General_SMF1_018_021")</f>
        <v>TCM_dKosh_General_SMF1_018_021</v>
      </c>
      <c r="B8" s="7" t="str">
        <f>IFERROR(__xludf.DUMMYFUNCTION("""COMPUTED_VALUE"""),"TP_dKosh_General_SMF1_018")</f>
        <v>TP_dKosh_General_SMF1_018</v>
      </c>
      <c r="C8" s="7">
        <f>IFERROR(__xludf.DUMMYFUNCTION("""COMPUTED_VALUE"""),21.0)</f>
        <v>21</v>
      </c>
      <c r="D8" s="7" t="str">
        <f>IFERROR(__xludf.DUMMYFUNCTION("""COMPUTED_VALUE"""),"Web, Mobile")</f>
        <v>Web, Mobile</v>
      </c>
      <c r="E8" s="7" t="str">
        <f>IFERROR(__xludf.DUMMYFUNCTION("""COMPUTED_VALUE"""),"Question Panel")</f>
        <v>Question Panel</v>
      </c>
      <c r="F8" s="7" t="str">
        <f>IFERROR(__xludf.DUMMYFUNCTION("""COMPUTED_VALUE"""),"Create Question")</f>
        <v>Create Question</v>
      </c>
      <c r="G8" s="7" t="str">
        <f>IFERROR(__xludf.DUMMYFUNCTION("""COMPUTED_VALUE"""),"M")</f>
        <v>M</v>
      </c>
      <c r="H8" s="7" t="str">
        <f>IFERROR(__xludf.DUMMYFUNCTION("""COMPUTED_VALUE"""),"Ankit")</f>
        <v>Ankit</v>
      </c>
      <c r="I8" s="7" t="str">
        <f>IFERROR(__xludf.DUMMYFUNCTION("""COMPUTED_VALUE"""),"Functional")</f>
        <v>Functional</v>
      </c>
      <c r="J8" s="7" t="str">
        <f>IFERROR(__xludf.DUMMYFUNCTION("""COMPUTED_VALUE"""),"")</f>
        <v/>
      </c>
      <c r="K8" s="7" t="str">
        <f>IFERROR(__xludf.DUMMYFUNCTION("""COMPUTED_VALUE"""),"Verify Question number field is auto calculated with auto incremented.")</f>
        <v>Verify Question number field is auto calculated with auto incremented.</v>
      </c>
      <c r="L8" s="7" t="str">
        <f>IFERROR(__xludf.DUMMYFUNCTION("""COMPUTED_VALUE"""),"1. Go to manage form list.
2. Select a form.
3. Click on Create Question.
4. Select question type.
5. Add the Section field text.
6. Check Question number field.")</f>
        <v>1. Go to manage form list.
2. Select a form.
3. Click on Create Question.
4. Select question type.
5. Add the Section field text.
6. Check Question number field.</v>
      </c>
      <c r="M8" s="7" t="str">
        <f>IFERROR(__xludf.DUMMYFUNCTION("""COMPUTED_VALUE"""),"Data should be saved after click on edit icon.")</f>
        <v>Data should be saved after click on edit icon.</v>
      </c>
      <c r="N8" s="7" t="str">
        <f>IFERROR(__xludf.DUMMYFUNCTION("""COMPUTED_VALUE"""),"")</f>
        <v/>
      </c>
      <c r="O8" s="7" t="str">
        <f>IFERROR(__xludf.DUMMYFUNCTION("""COMPUTED_VALUE"""),"Question number field should not be clickable.")</f>
        <v>Question number field should not be clickable.</v>
      </c>
      <c r="P8" s="7" t="str">
        <f>IFERROR(__xludf.DUMMYFUNCTION("""COMPUTED_VALUE"""),"Fail")</f>
        <v>Fail</v>
      </c>
      <c r="Q8" s="7" t="str">
        <f>IFERROR(__xludf.DUMMYFUNCTION("""COMPUTED_VALUE"""),"Jaikishan")</f>
        <v>Jaikishan</v>
      </c>
      <c r="R8" s="8">
        <f>IFERROR(__xludf.DUMMYFUNCTION("""COMPUTED_VALUE"""),43795.0)</f>
        <v>43795</v>
      </c>
      <c r="S8" s="7" t="str">
        <f>IFERROR(__xludf.DUMMYFUNCTION("""COMPUTED_VALUE"""),"")</f>
        <v/>
      </c>
      <c r="T8" s="9" t="s">
        <v>67</v>
      </c>
      <c r="U8" s="9"/>
      <c r="V8" s="9" t="s">
        <v>11</v>
      </c>
      <c r="W8" s="9" t="s">
        <v>66</v>
      </c>
      <c r="X8" s="7"/>
      <c r="Y8" s="7"/>
      <c r="Z8" s="7"/>
    </row>
    <row r="9">
      <c r="A9" s="7" t="str">
        <f>IFERROR(__xludf.DUMMYFUNCTION("""COMPUTED_VALUE"""),"TCM_dKosh_General_SMF1_018_024")</f>
        <v>TCM_dKosh_General_SMF1_018_024</v>
      </c>
      <c r="B9" s="7" t="str">
        <f>IFERROR(__xludf.DUMMYFUNCTION("""COMPUTED_VALUE"""),"TP_dKosh_General_SMF1_018")</f>
        <v>TP_dKosh_General_SMF1_018</v>
      </c>
      <c r="C9" s="7">
        <f>IFERROR(__xludf.DUMMYFUNCTION("""COMPUTED_VALUE"""),24.0)</f>
        <v>24</v>
      </c>
      <c r="D9" s="7" t="str">
        <f>IFERROR(__xludf.DUMMYFUNCTION("""COMPUTED_VALUE"""),"Web, Mobile")</f>
        <v>Web, Mobile</v>
      </c>
      <c r="E9" s="7" t="str">
        <f>IFERROR(__xludf.DUMMYFUNCTION("""COMPUTED_VALUE"""),"Question Panel")</f>
        <v>Question Panel</v>
      </c>
      <c r="F9" s="7" t="str">
        <f>IFERROR(__xludf.DUMMYFUNCTION("""COMPUTED_VALUE"""),"Create Question")</f>
        <v>Create Question</v>
      </c>
      <c r="G9" s="7" t="str">
        <f>IFERROR(__xludf.DUMMYFUNCTION("""COMPUTED_VALUE"""),"M")</f>
        <v>M</v>
      </c>
      <c r="H9" s="7" t="str">
        <f>IFERROR(__xludf.DUMMYFUNCTION("""COMPUTED_VALUE"""),"Ankit")</f>
        <v>Ankit</v>
      </c>
      <c r="I9" s="7" t="str">
        <f>IFERROR(__xludf.DUMMYFUNCTION("""COMPUTED_VALUE"""),"UI")</f>
        <v>UI</v>
      </c>
      <c r="J9" s="7" t="str">
        <f>IFERROR(__xludf.DUMMYFUNCTION("""COMPUTED_VALUE"""),"")</f>
        <v/>
      </c>
      <c r="K9" s="7" t="str">
        <f>IFERROR(__xludf.DUMMYFUNCTION("""COMPUTED_VALUE"""),"Verify Caption, Place holder , Default Value of Question field.")</f>
        <v>Verify Caption, Place holder , Default Value of Question field.</v>
      </c>
      <c r="L9" s="7" t="str">
        <f>IFERROR(__xludf.DUMMYFUNCTION("""COMPUTED_VALUE"""),"1. Go to manage form list.
2. Select a form.
3. Select question type.
4. Verify the field.
")</f>
        <v>1. Go to manage form list.
2. Select a form.
3. Select question type.
4. Verify the field.
</v>
      </c>
      <c r="M9" s="7" t="str">
        <f>IFERROR(__xludf.DUMMYFUNCTION("""COMPUTED_VALUE"""),"Place holder: Question
Control type: Text field
Default : --")</f>
        <v>Place holder: Question
Control type: Text field
Default : --</v>
      </c>
      <c r="N9" s="7" t="str">
        <f>IFERROR(__xludf.DUMMYFUNCTION("""COMPUTED_VALUE"""),"")</f>
        <v/>
      </c>
      <c r="O9" s="7" t="str">
        <f>IFERROR(__xludf.DUMMYFUNCTION("""COMPUTED_VALUE"""),"1. Caption and Control type is same as expected.(Pass)
2. Default some string showing (Fail)")</f>
        <v>1. Caption and Control type is same as expected.(Pass)
2. Default some string showing (Fail)</v>
      </c>
      <c r="P9" s="7" t="str">
        <f>IFERROR(__xludf.DUMMYFUNCTION("""COMPUTED_VALUE"""),"Fail")</f>
        <v>Fail</v>
      </c>
      <c r="Q9" s="7" t="str">
        <f>IFERROR(__xludf.DUMMYFUNCTION("""COMPUTED_VALUE"""),"Jaikishan")</f>
        <v>Jaikishan</v>
      </c>
      <c r="R9" s="8">
        <f>IFERROR(__xludf.DUMMYFUNCTION("""COMPUTED_VALUE"""),43795.0)</f>
        <v>43795</v>
      </c>
      <c r="S9" s="7" t="str">
        <f>IFERROR(__xludf.DUMMYFUNCTION("""COMPUTED_VALUE"""),"")</f>
        <v/>
      </c>
      <c r="T9" s="7"/>
      <c r="U9" s="7"/>
      <c r="V9" s="7"/>
      <c r="W9" s="9" t="s">
        <v>66</v>
      </c>
      <c r="X9" s="7"/>
      <c r="Y9" s="7"/>
      <c r="Z9" s="7"/>
    </row>
    <row r="10">
      <c r="A10" s="7" t="str">
        <f>IFERROR(__xludf.DUMMYFUNCTION("""COMPUTED_VALUE"""),"TCM_dKosh_General_SMF1_018_026")</f>
        <v>TCM_dKosh_General_SMF1_018_026</v>
      </c>
      <c r="B10" s="7" t="str">
        <f>IFERROR(__xludf.DUMMYFUNCTION("""COMPUTED_VALUE"""),"TP_dKosh_General_SMF1_018")</f>
        <v>TP_dKosh_General_SMF1_018</v>
      </c>
      <c r="C10" s="7">
        <f>IFERROR(__xludf.DUMMYFUNCTION("""COMPUTED_VALUE"""),26.0)</f>
        <v>26</v>
      </c>
      <c r="D10" s="7" t="str">
        <f>IFERROR(__xludf.DUMMYFUNCTION("""COMPUTED_VALUE"""),"Web, Mobile")</f>
        <v>Web, Mobile</v>
      </c>
      <c r="E10" s="7" t="str">
        <f>IFERROR(__xludf.DUMMYFUNCTION("""COMPUTED_VALUE"""),"Question Panel")</f>
        <v>Question Panel</v>
      </c>
      <c r="F10" s="7" t="str">
        <f>IFERROR(__xludf.DUMMYFUNCTION("""COMPUTED_VALUE"""),"DB table")</f>
        <v>DB table</v>
      </c>
      <c r="G10" s="7" t="str">
        <f>IFERROR(__xludf.DUMMYFUNCTION("""COMPUTED_VALUE"""),"M")</f>
        <v>M</v>
      </c>
      <c r="H10" s="7" t="str">
        <f>IFERROR(__xludf.DUMMYFUNCTION("""COMPUTED_VALUE"""),"Jaikishan")</f>
        <v>Jaikishan</v>
      </c>
      <c r="I10" s="7" t="str">
        <f>IFERROR(__xludf.DUMMYFUNCTION("""COMPUTED_VALUE"""),"Validation")</f>
        <v>Validation</v>
      </c>
      <c r="J10" s="7" t="str">
        <f>IFERROR(__xludf.DUMMYFUNCTION("""COMPUTED_VALUE"""),"")</f>
        <v/>
      </c>
      <c r="K10" s="7" t="str">
        <f>IFERROR(__xludf.DUMMYFUNCTION("""COMPUTED_VALUE"""),"Verify Database of Question column field show null when remove data from Question field.")</f>
        <v>Verify Database of Question column field show null when remove data from Question field.</v>
      </c>
      <c r="L10" s="7" t="str">
        <f>IFERROR(__xludf.DUMMYFUNCTION("""COMPUTED_VALUE"""),"1. Go to manage form list.
2. Select a form.
3. Select question type.
4. Remove value in field.
5. Click on out side the field.")</f>
        <v>1. Go to manage form list.
2. Select a form.
3. Select question type.
4. Remove value in field.
5. Click on out side the field.</v>
      </c>
      <c r="M10" s="7" t="str">
        <f>IFERROR(__xludf.DUMMYFUNCTION("""COMPUTED_VALUE"""),"Question column should show NULL in database")</f>
        <v>Question column should show NULL in database</v>
      </c>
      <c r="N10" s="7" t="str">
        <f>IFERROR(__xludf.DUMMYFUNCTION("""COMPUTED_VALUE"""),"")</f>
        <v/>
      </c>
      <c r="O10" s="7" t="str">
        <f>IFERROR(__xludf.DUMMYFUNCTION("""COMPUTED_VALUE"""),"Empty string showing instead of NULL")</f>
        <v>Empty string showing instead of NULL</v>
      </c>
      <c r="P10" s="7" t="str">
        <f>IFERROR(__xludf.DUMMYFUNCTION("""COMPUTED_VALUE"""),"Fail")</f>
        <v>Fail</v>
      </c>
      <c r="Q10" s="7" t="str">
        <f>IFERROR(__xludf.DUMMYFUNCTION("""COMPUTED_VALUE"""),"Jaikishan")</f>
        <v>Jaikishan</v>
      </c>
      <c r="R10" s="8">
        <f>IFERROR(__xludf.DUMMYFUNCTION("""COMPUTED_VALUE"""),43795.0)</f>
        <v>43795</v>
      </c>
      <c r="S10" s="7" t="str">
        <f>IFERROR(__xludf.DUMMYFUNCTION("""COMPUTED_VALUE"""),"")</f>
        <v/>
      </c>
      <c r="T10" s="9" t="s">
        <v>67</v>
      </c>
      <c r="U10" s="7"/>
      <c r="V10" s="7"/>
      <c r="W10" s="9" t="s">
        <v>66</v>
      </c>
      <c r="X10" s="7"/>
      <c r="Y10" s="7"/>
      <c r="Z10" s="7"/>
    </row>
    <row r="11">
      <c r="A11" s="7" t="str">
        <f>IFERROR(__xludf.DUMMYFUNCTION("""COMPUTED_VALUE"""),"TCM_dKosh_General_SMF1_018_034")</f>
        <v>TCM_dKosh_General_SMF1_018_034</v>
      </c>
      <c r="B11" s="7" t="str">
        <f>IFERROR(__xludf.DUMMYFUNCTION("""COMPUTED_VALUE"""),"TP_dKosh_General_SMF1_018")</f>
        <v>TP_dKosh_General_SMF1_018</v>
      </c>
      <c r="C11" s="7">
        <f>IFERROR(__xludf.DUMMYFUNCTION("""COMPUTED_VALUE"""),34.0)</f>
        <v>34</v>
      </c>
      <c r="D11" s="7" t="str">
        <f>IFERROR(__xludf.DUMMYFUNCTION("""COMPUTED_VALUE"""),"Web, Mobile")</f>
        <v>Web, Mobile</v>
      </c>
      <c r="E11" s="7" t="str">
        <f>IFERROR(__xludf.DUMMYFUNCTION("""COMPUTED_VALUE"""),"Question Panel")</f>
        <v>Question Panel</v>
      </c>
      <c r="F11" s="7" t="str">
        <f>IFERROR(__xludf.DUMMYFUNCTION("""COMPUTED_VALUE"""),"Create Question")</f>
        <v>Create Question</v>
      </c>
      <c r="G11" s="7" t="str">
        <f>IFERROR(__xludf.DUMMYFUNCTION("""COMPUTED_VALUE"""),"M")</f>
        <v>M</v>
      </c>
      <c r="H11" s="7" t="str">
        <f>IFERROR(__xludf.DUMMYFUNCTION("""COMPUTED_VALUE"""),"Ankit")</f>
        <v>Ankit</v>
      </c>
      <c r="I11" s="7" t="str">
        <f>IFERROR(__xludf.DUMMYFUNCTION("""COMPUTED_VALUE"""),"Validation")</f>
        <v>Validation</v>
      </c>
      <c r="J11" s="7" t="str">
        <f>IFERROR(__xludf.DUMMYFUNCTION("""COMPUTED_VALUE"""),"")</f>
        <v/>
      </c>
      <c r="K11" s="7" t="str">
        <f>IFERROR(__xludf.DUMMYFUNCTION("""COMPUTED_VALUE"""),"Verify that Short name of question field accepts all type of data.")</f>
        <v>Verify that Short name of question field accepts all type of data.</v>
      </c>
      <c r="L11" s="7" t="str">
        <f>IFERROR(__xludf.DUMMYFUNCTION("""COMPUTED_VALUE"""),"1. Go to manage form list.
2. Select a form.
3. Select question type.
4. Enter value in field.
5. Click on out side the field.")</f>
        <v>1. Go to manage form list.
2. Select a form.
3. Select question type.
4. Enter value in field.
5. Click on out side the field.</v>
      </c>
      <c r="M11" s="7" t="str">
        <f>IFERROR(__xludf.DUMMYFUNCTION("""COMPUTED_VALUE"""),"Data should be accepted. No error message should be displayed.")</f>
        <v>Data should be accepted. No error message should be displayed.</v>
      </c>
      <c r="N11" s="7" t="str">
        <f>IFERROR(__xludf.DUMMYFUNCTION("""COMPUTED_VALUE"""),"DB - Varchar(50)")</f>
        <v>DB - Varchar(50)</v>
      </c>
      <c r="O11" s="7" t="str">
        <f>IFERROR(__xludf.DUMMYFUNCTION("""COMPUTED_VALUE"""),"1. Alert message ""Your short name contains only small letters, underscores and dashes"" showing.
2. Also accept number which are not written in error message.
")</f>
        <v>1. Alert message "Your short name contains only small letters, underscores and dashes" showing.
2. Also accept number which are not written in error message.
</v>
      </c>
      <c r="P11" s="7" t="str">
        <f>IFERROR(__xludf.DUMMYFUNCTION("""COMPUTED_VALUE"""),"Fail")</f>
        <v>Fail</v>
      </c>
      <c r="Q11" s="7" t="str">
        <f>IFERROR(__xludf.DUMMYFUNCTION("""COMPUTED_VALUE"""),"Jaikishan")</f>
        <v>Jaikishan</v>
      </c>
      <c r="R11" s="8">
        <f>IFERROR(__xludf.DUMMYFUNCTION("""COMPUTED_VALUE"""),43795.0)</f>
        <v>43795</v>
      </c>
      <c r="S11" s="7" t="str">
        <f>IFERROR(__xludf.DUMMYFUNCTION("""COMPUTED_VALUE"""),"")</f>
        <v/>
      </c>
      <c r="T11" s="7"/>
      <c r="U11" s="7"/>
      <c r="V11" s="9" t="s">
        <v>68</v>
      </c>
      <c r="W11" s="9" t="s">
        <v>66</v>
      </c>
      <c r="X11" s="9" t="s">
        <v>69</v>
      </c>
      <c r="Y11" s="7"/>
      <c r="Z11" s="7"/>
    </row>
    <row r="12">
      <c r="A12" s="7" t="str">
        <f>IFERROR(__xludf.DUMMYFUNCTION("""COMPUTED_VALUE"""),"TCM_dKosh_General_SMF1_018_038")</f>
        <v>TCM_dKosh_General_SMF1_018_038</v>
      </c>
      <c r="B12" s="7" t="str">
        <f>IFERROR(__xludf.DUMMYFUNCTION("""COMPUTED_VALUE"""),"TP_dKosh_General_SMF1_018")</f>
        <v>TP_dKosh_General_SMF1_018</v>
      </c>
      <c r="C12" s="7">
        <f>IFERROR(__xludf.DUMMYFUNCTION("""COMPUTED_VALUE"""),38.0)</f>
        <v>38</v>
      </c>
      <c r="D12" s="7" t="str">
        <f>IFERROR(__xludf.DUMMYFUNCTION("""COMPUTED_VALUE"""),"Web, Mobile")</f>
        <v>Web, Mobile</v>
      </c>
      <c r="E12" s="7" t="str">
        <f>IFERROR(__xludf.DUMMYFUNCTION("""COMPUTED_VALUE"""),"Question Panel")</f>
        <v>Question Panel</v>
      </c>
      <c r="F12" s="7" t="str">
        <f>IFERROR(__xludf.DUMMYFUNCTION("""COMPUTED_VALUE"""),"Create Question")</f>
        <v>Create Question</v>
      </c>
      <c r="G12" s="7" t="str">
        <f>IFERROR(__xludf.DUMMYFUNCTION("""COMPUTED_VALUE"""),"M")</f>
        <v>M</v>
      </c>
      <c r="H12" s="7" t="str">
        <f>IFERROR(__xludf.DUMMYFUNCTION("""COMPUTED_VALUE"""),"Ankit")</f>
        <v>Ankit</v>
      </c>
      <c r="I12" s="7" t="str">
        <f>IFERROR(__xludf.DUMMYFUNCTION("""COMPUTED_VALUE"""),"Validation")</f>
        <v>Validation</v>
      </c>
      <c r="J12" s="7" t="str">
        <f>IFERROR(__xludf.DUMMYFUNCTION("""COMPUTED_VALUE"""),"")</f>
        <v/>
      </c>
      <c r="K12" s="7" t="str">
        <f>IFERROR(__xludf.DUMMYFUNCTION("""COMPUTED_VALUE"""),"Verify that Prefill value field accepts all type of data.")</f>
        <v>Verify that Prefill value field accepts all type of data.</v>
      </c>
      <c r="L12" s="7" t="str">
        <f>IFERROR(__xludf.DUMMYFUNCTION("""COMPUTED_VALUE"""),"1. Go to manage form list.
2. Select a form.
3. Select question type.
4. Enter value in field.
5. Click on out side the field.")</f>
        <v>1. Go to manage form list.
2. Select a form.
3. Select question type.
4. Enter value in field.
5. Click on out side the field.</v>
      </c>
      <c r="M12" s="7" t="str">
        <f>IFERROR(__xludf.DUMMYFUNCTION("""COMPUTED_VALUE"""),"Data should be accepted. No error message should be displayed.")</f>
        <v>Data should be accepted. No error message should be displayed.</v>
      </c>
      <c r="N12" s="7" t="str">
        <f>IFERROR(__xludf.DUMMYFUNCTION("""COMPUTED_VALUE"""),"")</f>
        <v/>
      </c>
      <c r="O12" s="7" t="str">
        <f>IFERROR(__xludf.DUMMYFUNCTION("""COMPUTED_VALUE"""),"In sheet it is written as Text with 100 character.")</f>
        <v>In sheet it is written as Text with 100 character.</v>
      </c>
      <c r="P12" s="7" t="str">
        <f>IFERROR(__xludf.DUMMYFUNCTION("""COMPUTED_VALUE"""),"?")</f>
        <v>?</v>
      </c>
      <c r="Q12" s="7" t="str">
        <f>IFERROR(__xludf.DUMMYFUNCTION("""COMPUTED_VALUE"""),"Jaikishan")</f>
        <v>Jaikishan</v>
      </c>
      <c r="R12" s="8" t="str">
        <f>IFERROR(__xludf.DUMMYFUNCTION("""COMPUTED_VALUE"""),"")</f>
        <v/>
      </c>
      <c r="S12" s="7" t="str">
        <f>IFERROR(__xludf.DUMMYFUNCTION("""COMPUTED_VALUE"""),"")</f>
        <v/>
      </c>
      <c r="T12" s="9" t="s">
        <v>10</v>
      </c>
      <c r="U12" s="7"/>
      <c r="V12" s="9" t="s">
        <v>11</v>
      </c>
      <c r="W12" s="9" t="s">
        <v>66</v>
      </c>
      <c r="X12" s="7"/>
      <c r="Y12" s="7"/>
      <c r="Z12" s="7"/>
    </row>
    <row r="13">
      <c r="A13" s="7" t="str">
        <f>IFERROR(__xludf.DUMMYFUNCTION("""COMPUTED_VALUE"""),"TCM_dKosh_General_SMF1_018_044")</f>
        <v>TCM_dKosh_General_SMF1_018_044</v>
      </c>
      <c r="B13" s="7" t="str">
        <f>IFERROR(__xludf.DUMMYFUNCTION("""COMPUTED_VALUE"""),"TP_dKosh_General_SMF1_018")</f>
        <v>TP_dKosh_General_SMF1_018</v>
      </c>
      <c r="C13" s="7">
        <f>IFERROR(__xludf.DUMMYFUNCTION("""COMPUTED_VALUE"""),44.0)</f>
        <v>44</v>
      </c>
      <c r="D13" s="7" t="str">
        <f>IFERROR(__xludf.DUMMYFUNCTION("""COMPUTED_VALUE"""),"Web, Mobile")</f>
        <v>Web, Mobile</v>
      </c>
      <c r="E13" s="7" t="str">
        <f>IFERROR(__xludf.DUMMYFUNCTION("""COMPUTED_VALUE"""),"Question Panel")</f>
        <v>Question Panel</v>
      </c>
      <c r="F13" s="7" t="str">
        <f>IFERROR(__xludf.DUMMYFUNCTION("""COMPUTED_VALUE"""),"Create Question")</f>
        <v>Create Question</v>
      </c>
      <c r="G13" s="7" t="str">
        <f>IFERROR(__xludf.DUMMYFUNCTION("""COMPUTED_VALUE"""),"M")</f>
        <v>M</v>
      </c>
      <c r="H13" s="7" t="str">
        <f>IFERROR(__xludf.DUMMYFUNCTION("""COMPUTED_VALUE"""),"Ankit")</f>
        <v>Ankit</v>
      </c>
      <c r="I13" s="7" t="str">
        <f>IFERROR(__xludf.DUMMYFUNCTION("""COMPUTED_VALUE"""),"UI")</f>
        <v>UI</v>
      </c>
      <c r="J13" s="7" t="str">
        <f>IFERROR(__xludf.DUMMYFUNCTION("""COMPUTED_VALUE"""),"")</f>
        <v/>
      </c>
      <c r="K13" s="7" t="str">
        <f>IFERROR(__xludf.DUMMYFUNCTION("""COMPUTED_VALUE"""),"Verify Caption, Place holder of Choice Source Type field.")</f>
        <v>Verify Caption, Place holder of Choice Source Type field.</v>
      </c>
      <c r="L13" s="7" t="str">
        <f>IFERROR(__xludf.DUMMYFUNCTION("""COMPUTED_VALUE"""),"1. Go to manage form list.
2. Select a form.
3. Select question type.
4. Verify the field.
")</f>
        <v>1. Go to manage form list.
2. Select a form.
3. Select question type.
4. Verify the field.
</v>
      </c>
      <c r="M13" s="7" t="str">
        <f>IFERROR(__xludf.DUMMYFUNCTION("""COMPUTED_VALUE"""),"Place holder: Choice Source Type
Control type: Dropdown")</f>
        <v>Place holder: Choice Source Type
Control type: Dropdown</v>
      </c>
      <c r="N13" s="7" t="str">
        <f>IFERROR(__xludf.DUMMYFUNCTION("""COMPUTED_VALUE"""),"")</f>
        <v/>
      </c>
      <c r="O13" s="7" t="str">
        <f>IFERROR(__xludf.DUMMYFUNCTION("""COMPUTED_VALUE"""),"No Placeholder is displaying.")</f>
        <v>No Placeholder is displaying.</v>
      </c>
      <c r="P13" s="7" t="str">
        <f>IFERROR(__xludf.DUMMYFUNCTION("""COMPUTED_VALUE"""),"Fail")</f>
        <v>Fail</v>
      </c>
      <c r="Q13" s="7" t="str">
        <f>IFERROR(__xludf.DUMMYFUNCTION("""COMPUTED_VALUE"""),"Jaikishan")</f>
        <v>Jaikishan</v>
      </c>
      <c r="R13" s="8">
        <f>IFERROR(__xludf.DUMMYFUNCTION("""COMPUTED_VALUE"""),43795.0)</f>
        <v>43795</v>
      </c>
      <c r="S13" s="7" t="str">
        <f>IFERROR(__xludf.DUMMYFUNCTION("""COMPUTED_VALUE"""),"")</f>
        <v/>
      </c>
      <c r="T13" s="9" t="s">
        <v>10</v>
      </c>
      <c r="U13" s="7"/>
      <c r="V13" s="9" t="s">
        <v>11</v>
      </c>
      <c r="W13" s="9" t="s">
        <v>66</v>
      </c>
      <c r="X13" s="9" t="s">
        <v>70</v>
      </c>
      <c r="Y13" s="7"/>
      <c r="Z13" s="7"/>
    </row>
    <row r="14">
      <c r="A14" s="7" t="str">
        <f>IFERROR(__xludf.DUMMYFUNCTION("""COMPUTED_VALUE"""),"TCM_dKosh_General_SMF1_018_047")</f>
        <v>TCM_dKosh_General_SMF1_018_047</v>
      </c>
      <c r="B14" s="7" t="str">
        <f>IFERROR(__xludf.DUMMYFUNCTION("""COMPUTED_VALUE"""),"TP_dKosh_General_SMF1_018")</f>
        <v>TP_dKosh_General_SMF1_018</v>
      </c>
      <c r="C14" s="7">
        <f>IFERROR(__xludf.DUMMYFUNCTION("""COMPUTED_VALUE"""),47.0)</f>
        <v>47</v>
      </c>
      <c r="D14" s="7" t="str">
        <f>IFERROR(__xludf.DUMMYFUNCTION("""COMPUTED_VALUE"""),"Web, Mobile")</f>
        <v>Web, Mobile</v>
      </c>
      <c r="E14" s="7" t="str">
        <f>IFERROR(__xludf.DUMMYFUNCTION("""COMPUTED_VALUE"""),"Question Panel")</f>
        <v>Question Panel</v>
      </c>
      <c r="F14" s="7" t="str">
        <f>IFERROR(__xludf.DUMMYFUNCTION("""COMPUTED_VALUE"""),"Create Question")</f>
        <v>Create Question</v>
      </c>
      <c r="G14" s="7" t="str">
        <f>IFERROR(__xludf.DUMMYFUNCTION("""COMPUTED_VALUE"""),"M")</f>
        <v>M</v>
      </c>
      <c r="H14" s="7" t="str">
        <f>IFERROR(__xludf.DUMMYFUNCTION("""COMPUTED_VALUE"""),"Ankit")</f>
        <v>Ankit</v>
      </c>
      <c r="I14" s="7" t="str">
        <f>IFERROR(__xludf.DUMMYFUNCTION("""COMPUTED_VALUE"""),"Validation")</f>
        <v>Validation</v>
      </c>
      <c r="J14" s="7" t="str">
        <f>IFERROR(__xludf.DUMMYFUNCTION("""COMPUTED_VALUE"""),"")</f>
        <v/>
      </c>
      <c r="K14" s="7" t="str">
        <f>IFERROR(__xludf.DUMMYFUNCTION("""COMPUTED_VALUE"""),"Verify error message is displaying if user is not select a data in Choice Source type dropdown field.")</f>
        <v>Verify error message is displaying if user is not select a data in Choice Source type dropdown field.</v>
      </c>
      <c r="L14" s="7" t="str">
        <f>IFERROR(__xludf.DUMMYFUNCTION("""COMPUTED_VALUE"""),"1. Go to manage form list.
2. Select a form.
3. Click on Create Question.
4. Select question type as Autocomplete.
5. Add the Section field text.
6. Select data in question depends on field.
7. Check the ""Choice Source type"" field is displaying or not. ")</f>
        <v>1. Go to manage form list.
2. Select a form.
3. Click on Create Question.
4. Select question type as Autocomplete.
5. Add the Section field text.
6. Select data in question depends on field.
7. Check the "Choice Source type" field is displaying or not. </v>
      </c>
      <c r="M14" s="7" t="str">
        <f>IFERROR(__xludf.DUMMYFUNCTION("""COMPUTED_VALUE"""),"Below message should be displayed-
Please select Source Type.")</f>
        <v>Below message should be displayed-
Please select Source Type.</v>
      </c>
      <c r="N14" s="7" t="str">
        <f>IFERROR(__xludf.DUMMYFUNCTION("""COMPUTED_VALUE"""),"")</f>
        <v/>
      </c>
      <c r="O14" s="7" t="str">
        <f>IFERROR(__xludf.DUMMYFUNCTION("""COMPUTED_VALUE"""),"No message is displaying.
Bydefault 0 enter in database.")</f>
        <v>No message is displaying.
Bydefault 0 enter in database.</v>
      </c>
      <c r="P14" s="7" t="str">
        <f>IFERROR(__xludf.DUMMYFUNCTION("""COMPUTED_VALUE"""),"Fail")</f>
        <v>Fail</v>
      </c>
      <c r="Q14" s="7" t="str">
        <f>IFERROR(__xludf.DUMMYFUNCTION("""COMPUTED_VALUE"""),"Jaikishan")</f>
        <v>Jaikishan</v>
      </c>
      <c r="R14" s="8">
        <f>IFERROR(__xludf.DUMMYFUNCTION("""COMPUTED_VALUE"""),43795.0)</f>
        <v>43795</v>
      </c>
      <c r="S14" s="7" t="str">
        <f>IFERROR(__xludf.DUMMYFUNCTION("""COMPUTED_VALUE"""),"")</f>
        <v/>
      </c>
      <c r="T14" s="9" t="s">
        <v>10</v>
      </c>
      <c r="U14" s="7"/>
      <c r="V14" s="9" t="s">
        <v>11</v>
      </c>
      <c r="W14" s="9" t="s">
        <v>66</v>
      </c>
      <c r="X14" s="7"/>
      <c r="Y14" s="7"/>
      <c r="Z14" s="7"/>
    </row>
    <row r="15">
      <c r="A15" s="7" t="str">
        <f>IFERROR(__xludf.DUMMYFUNCTION("""COMPUTED_VALUE"""),"TCM_dKosh_General_SMF1_017_051")</f>
        <v>TCM_dKosh_General_SMF1_017_051</v>
      </c>
      <c r="B15" s="7" t="str">
        <f>IFERROR(__xludf.DUMMYFUNCTION("""COMPUTED_VALUE"""),"TP_dKosh_General_SMF1_017")</f>
        <v>TP_dKosh_General_SMF1_017</v>
      </c>
      <c r="C15" s="7">
        <f>IFERROR(__xludf.DUMMYFUNCTION("""COMPUTED_VALUE"""),51.0)</f>
        <v>51</v>
      </c>
      <c r="D15" s="7" t="str">
        <f>IFERROR(__xludf.DUMMYFUNCTION("""COMPUTED_VALUE"""),"Web, Mobile")</f>
        <v>Web, Mobile</v>
      </c>
      <c r="E15" s="7" t="str">
        <f>IFERROR(__xludf.DUMMYFUNCTION("""COMPUTED_VALUE"""),"User Defined Choice")</f>
        <v>User Defined Choice</v>
      </c>
      <c r="F15" s="7" t="str">
        <f>IFERROR(__xludf.DUMMYFUNCTION("""COMPUTED_VALUE"""),"Create")</f>
        <v>Create</v>
      </c>
      <c r="G15" s="7" t="str">
        <f>IFERROR(__xludf.DUMMYFUNCTION("""COMPUTED_VALUE"""),"M")</f>
        <v>M</v>
      </c>
      <c r="H15" s="7" t="str">
        <f>IFERROR(__xludf.DUMMYFUNCTION("""COMPUTED_VALUE"""),"Ankit")</f>
        <v>Ankit</v>
      </c>
      <c r="I15" s="7" t="str">
        <f>IFERROR(__xludf.DUMMYFUNCTION("""COMPUTED_VALUE"""),"UI")</f>
        <v>UI</v>
      </c>
      <c r="J15" s="7" t="str">
        <f>IFERROR(__xludf.DUMMYFUNCTION("""COMPUTED_VALUE"""),"")</f>
        <v/>
      </c>
      <c r="K15" s="7" t="str">
        <f>IFERROR(__xludf.DUMMYFUNCTION("""COMPUTED_VALUE"""),"Verify the Question no is displaying properly.")</f>
        <v>Verify the Question no is displaying properly.</v>
      </c>
      <c r="L15" s="7" t="str">
        <f>IFERROR(__xludf.DUMMYFUNCTION("""COMPUTED_VALUE"""),"1. Go to manage form list.
2. Click on Modify form in Action.
3. Select question type as Choice type.
4. Select choice source as User Defined
5. Verify the data in the form.")</f>
        <v>1. Go to manage form list.
2. Click on Modify form in Action.
3. Select question type as Choice type.
4. Select choice source as User Defined
5. Verify the data in the form.</v>
      </c>
      <c r="M15" s="7" t="str">
        <f>IFERROR(__xludf.DUMMYFUNCTION("""COMPUTED_VALUE"""),"There should be displayed a correct question no. for example
Q. 1")</f>
        <v>There should be displayed a correct question no. for example
Q. 1</v>
      </c>
      <c r="N15" s="7" t="str">
        <f>IFERROR(__xludf.DUMMYFUNCTION("""COMPUTED_VALUE"""),"Not a big issue.")</f>
        <v>Not a big issue.</v>
      </c>
      <c r="O15" s="7" t="str">
        <f>IFERROR(__xludf.DUMMYFUNCTION("""COMPUTED_VALUE"""),"Displaying Question short name as :
1. short_name")</f>
        <v>Displaying Question short name as :
1. short_name</v>
      </c>
      <c r="P15" s="7" t="str">
        <f>IFERROR(__xludf.DUMMYFUNCTION("""COMPUTED_VALUE"""),"Fail")</f>
        <v>Fail</v>
      </c>
      <c r="Q15" s="7" t="str">
        <f>IFERROR(__xludf.DUMMYFUNCTION("""COMPUTED_VALUE"""),"Jaikishan")</f>
        <v>Jaikishan</v>
      </c>
      <c r="R15" s="8">
        <f>IFERROR(__xludf.DUMMYFUNCTION("""COMPUTED_VALUE"""),43795.0)</f>
        <v>43795</v>
      </c>
      <c r="S15" s="7" t="str">
        <f>IFERROR(__xludf.DUMMYFUNCTION("""COMPUTED_VALUE"""),"")</f>
        <v/>
      </c>
      <c r="T15" s="7"/>
      <c r="U15" s="7"/>
      <c r="V15" s="7"/>
      <c r="W15" s="9" t="s">
        <v>66</v>
      </c>
      <c r="X15" s="7"/>
      <c r="Y15" s="7"/>
      <c r="Z15" s="7"/>
    </row>
    <row r="16">
      <c r="A16" s="7" t="str">
        <f>IFERROR(__xludf.DUMMYFUNCTION("""COMPUTED_VALUE"""),"TCM_dKosh_General_SMF1_017_057")</f>
        <v>TCM_dKosh_General_SMF1_017_057</v>
      </c>
      <c r="B16" s="7" t="str">
        <f>IFERROR(__xludf.DUMMYFUNCTION("""COMPUTED_VALUE"""),"TP_dKosh_General_SMF1_017")</f>
        <v>TP_dKosh_General_SMF1_017</v>
      </c>
      <c r="C16" s="7">
        <f>IFERROR(__xludf.DUMMYFUNCTION("""COMPUTED_VALUE"""),57.0)</f>
        <v>57</v>
      </c>
      <c r="D16" s="7" t="str">
        <f>IFERROR(__xludf.DUMMYFUNCTION("""COMPUTED_VALUE"""),"Web, Mobile")</f>
        <v>Web, Mobile</v>
      </c>
      <c r="E16" s="7" t="str">
        <f>IFERROR(__xludf.DUMMYFUNCTION("""COMPUTED_VALUE"""),"User Defined Choice")</f>
        <v>User Defined Choice</v>
      </c>
      <c r="F16" s="7" t="str">
        <f>IFERROR(__xludf.DUMMYFUNCTION("""COMPUTED_VALUE"""),"Create")</f>
        <v>Create</v>
      </c>
      <c r="G16" s="7" t="str">
        <f>IFERROR(__xludf.DUMMYFUNCTION("""COMPUTED_VALUE"""),"M")</f>
        <v>M</v>
      </c>
      <c r="H16" s="7" t="str">
        <f>IFERROR(__xludf.DUMMYFUNCTION("""COMPUTED_VALUE"""),"Ankit")</f>
        <v>Ankit</v>
      </c>
      <c r="I16" s="7" t="str">
        <f>IFERROR(__xludf.DUMMYFUNCTION("""COMPUTED_VALUE"""),"UI")</f>
        <v>UI</v>
      </c>
      <c r="J16" s="7" t="str">
        <f>IFERROR(__xludf.DUMMYFUNCTION("""COMPUTED_VALUE"""),"")</f>
        <v/>
      </c>
      <c r="K16" s="7" t="str">
        <f>IFERROR(__xludf.DUMMYFUNCTION("""COMPUTED_VALUE"""),"Verify displaying icon in the options when question type is Radio")</f>
        <v>Verify displaying icon in the options when question type is Radio</v>
      </c>
      <c r="L16" s="7" t="str">
        <f>IFERROR(__xludf.DUMMYFUNCTION("""COMPUTED_VALUE"""),"1. Go to manage form list.
2. Click on Modify form in Action.
3. Select question type as Choice type (Radio button).
4. Select choice source as User Defined
5. Verify the option icons.")</f>
        <v>1. Go to manage form list.
2. Click on Modify form in Action.
3. Select question type as Choice type (Radio button).
4. Select choice source as User Defined
5. Verify the option icons.</v>
      </c>
      <c r="M16" s="7" t="str">
        <f>IFERROR(__xludf.DUMMYFUNCTION("""COMPUTED_VALUE"""),"Radio icon should be displayed.")</f>
        <v>Radio icon should be displayed.</v>
      </c>
      <c r="N16" s="7" t="str">
        <f>IFERROR(__xludf.DUMMYFUNCTION("""COMPUTED_VALUE"""),"")</f>
        <v/>
      </c>
      <c r="O16" s="7" t="str">
        <f>IFERROR(__xludf.DUMMYFUNCTION("""COMPUTED_VALUE"""),"No radio icon is displaying, it displaying in a bulletin format.")</f>
        <v>No radio icon is displaying, it displaying in a bulletin format.</v>
      </c>
      <c r="P16" s="7" t="str">
        <f>IFERROR(__xludf.DUMMYFUNCTION("""COMPUTED_VALUE"""),"Fail")</f>
        <v>Fail</v>
      </c>
      <c r="Q16" s="7" t="str">
        <f>IFERROR(__xludf.DUMMYFUNCTION("""COMPUTED_VALUE"""),"Jaikishan")</f>
        <v>Jaikishan</v>
      </c>
      <c r="R16" s="8">
        <f>IFERROR(__xludf.DUMMYFUNCTION("""COMPUTED_VALUE"""),43795.0)</f>
        <v>43795</v>
      </c>
      <c r="S16" s="7" t="str">
        <f>IFERROR(__xludf.DUMMYFUNCTION("""COMPUTED_VALUE"""),"")</f>
        <v/>
      </c>
      <c r="T16" s="7"/>
      <c r="U16" s="7"/>
      <c r="V16" s="7"/>
      <c r="W16" s="9" t="s">
        <v>66</v>
      </c>
      <c r="X16" s="7"/>
      <c r="Y16" s="7"/>
      <c r="Z16" s="7"/>
    </row>
    <row r="17">
      <c r="A17" s="7" t="str">
        <f>IFERROR(__xludf.DUMMYFUNCTION("""COMPUTED_VALUE"""),"TCM_dKosh_General_SMF1_017_058")</f>
        <v>TCM_dKosh_General_SMF1_017_058</v>
      </c>
      <c r="B17" s="7" t="str">
        <f>IFERROR(__xludf.DUMMYFUNCTION("""COMPUTED_VALUE"""),"TP_dKosh_General_SMF1_017")</f>
        <v>TP_dKosh_General_SMF1_017</v>
      </c>
      <c r="C17" s="7">
        <f>IFERROR(__xludf.DUMMYFUNCTION("""COMPUTED_VALUE"""),58.0)</f>
        <v>58</v>
      </c>
      <c r="D17" s="7" t="str">
        <f>IFERROR(__xludf.DUMMYFUNCTION("""COMPUTED_VALUE"""),"Web, Mobile")</f>
        <v>Web, Mobile</v>
      </c>
      <c r="E17" s="7" t="str">
        <f>IFERROR(__xludf.DUMMYFUNCTION("""COMPUTED_VALUE"""),"User Defined Choice")</f>
        <v>User Defined Choice</v>
      </c>
      <c r="F17" s="7" t="str">
        <f>IFERROR(__xludf.DUMMYFUNCTION("""COMPUTED_VALUE"""),"Create")</f>
        <v>Create</v>
      </c>
      <c r="G17" s="7" t="str">
        <f>IFERROR(__xludf.DUMMYFUNCTION("""COMPUTED_VALUE"""),"M")</f>
        <v>M</v>
      </c>
      <c r="H17" s="7" t="str">
        <f>IFERROR(__xludf.DUMMYFUNCTION("""COMPUTED_VALUE"""),"Ankit")</f>
        <v>Ankit</v>
      </c>
      <c r="I17" s="7" t="str">
        <f>IFERROR(__xludf.DUMMYFUNCTION("""COMPUTED_VALUE"""),"UI")</f>
        <v>UI</v>
      </c>
      <c r="J17" s="7" t="str">
        <f>IFERROR(__xludf.DUMMYFUNCTION("""COMPUTED_VALUE"""),"")</f>
        <v/>
      </c>
      <c r="K17" s="7" t="str">
        <f>IFERROR(__xludf.DUMMYFUNCTION("""COMPUTED_VALUE"""),"Verify displaying icon in the options when question type is Checkbox")</f>
        <v>Verify displaying icon in the options when question type is Checkbox</v>
      </c>
      <c r="L17" s="7" t="str">
        <f>IFERROR(__xludf.DUMMYFUNCTION("""COMPUTED_VALUE"""),"1. Go to manage form list.
2. Click on Modify form in Action.
3. Select question type as Choice type (Checkbox).
4. Select choice source as User Defined
5. Verify the option icons.")</f>
        <v>1. Go to manage form list.
2. Click on Modify form in Action.
3. Select question type as Choice type (Checkbox).
4. Select choice source as User Defined
5. Verify the option icons.</v>
      </c>
      <c r="M17" s="7" t="str">
        <f>IFERROR(__xludf.DUMMYFUNCTION("""COMPUTED_VALUE"""),"Checkbox icon should be displayed.")</f>
        <v>Checkbox icon should be displayed.</v>
      </c>
      <c r="N17" s="7" t="str">
        <f>IFERROR(__xludf.DUMMYFUNCTION("""COMPUTED_VALUE"""),"")</f>
        <v/>
      </c>
      <c r="O17" s="7" t="str">
        <f>IFERROR(__xludf.DUMMYFUNCTION("""COMPUTED_VALUE"""),"No checkbox icon is displaying")</f>
        <v>No checkbox icon is displaying</v>
      </c>
      <c r="P17" s="7" t="str">
        <f>IFERROR(__xludf.DUMMYFUNCTION("""COMPUTED_VALUE"""),"Fail")</f>
        <v>Fail</v>
      </c>
      <c r="Q17" s="7" t="str">
        <f>IFERROR(__xludf.DUMMYFUNCTION("""COMPUTED_VALUE"""),"Jaikishan")</f>
        <v>Jaikishan</v>
      </c>
      <c r="R17" s="8">
        <f>IFERROR(__xludf.DUMMYFUNCTION("""COMPUTED_VALUE"""),43795.0)</f>
        <v>43795</v>
      </c>
      <c r="S17" s="7" t="str">
        <f>IFERROR(__xludf.DUMMYFUNCTION("""COMPUTED_VALUE"""),"")</f>
        <v/>
      </c>
      <c r="T17" s="9" t="s">
        <v>67</v>
      </c>
      <c r="U17" s="7"/>
      <c r="V17" s="9" t="s">
        <v>11</v>
      </c>
      <c r="W17" s="9" t="s">
        <v>66</v>
      </c>
      <c r="X17" s="7"/>
      <c r="Y17" s="7"/>
      <c r="Z17" s="7"/>
    </row>
    <row r="18">
      <c r="A18" s="7" t="str">
        <f>IFERROR(__xludf.DUMMYFUNCTION("""COMPUTED_VALUE"""),"TCM_dKosh_General_SMF1_017_059")</f>
        <v>TCM_dKosh_General_SMF1_017_059</v>
      </c>
      <c r="B18" s="7" t="str">
        <f>IFERROR(__xludf.DUMMYFUNCTION("""COMPUTED_VALUE"""),"TP_dKosh_General_SMF1_017")</f>
        <v>TP_dKosh_General_SMF1_017</v>
      </c>
      <c r="C18" s="7">
        <f>IFERROR(__xludf.DUMMYFUNCTION("""COMPUTED_VALUE"""),59.0)</f>
        <v>59</v>
      </c>
      <c r="D18" s="7" t="str">
        <f>IFERROR(__xludf.DUMMYFUNCTION("""COMPUTED_VALUE"""),"Web, Mobile")</f>
        <v>Web, Mobile</v>
      </c>
      <c r="E18" s="7" t="str">
        <f>IFERROR(__xludf.DUMMYFUNCTION("""COMPUTED_VALUE"""),"User Defined Choice")</f>
        <v>User Defined Choice</v>
      </c>
      <c r="F18" s="7" t="str">
        <f>IFERROR(__xludf.DUMMYFUNCTION("""COMPUTED_VALUE"""),"Create")</f>
        <v>Create</v>
      </c>
      <c r="G18" s="7" t="str">
        <f>IFERROR(__xludf.DUMMYFUNCTION("""COMPUTED_VALUE"""),"M")</f>
        <v>M</v>
      </c>
      <c r="H18" s="7" t="str">
        <f>IFERROR(__xludf.DUMMYFUNCTION("""COMPUTED_VALUE"""),"Ankit")</f>
        <v>Ankit</v>
      </c>
      <c r="I18" s="7" t="str">
        <f>IFERROR(__xludf.DUMMYFUNCTION("""COMPUTED_VALUE"""),"UI")</f>
        <v>UI</v>
      </c>
      <c r="J18" s="7" t="str">
        <f>IFERROR(__xludf.DUMMYFUNCTION("""COMPUTED_VALUE"""),"")</f>
        <v/>
      </c>
      <c r="K18" s="7" t="str">
        <f>IFERROR(__xludf.DUMMYFUNCTION("""COMPUTED_VALUE"""),"Verify displaying icon in the options when question type is Dropdown.")</f>
        <v>Verify displaying icon in the options when question type is Dropdown.</v>
      </c>
      <c r="L18" s="7" t="str">
        <f>IFERROR(__xludf.DUMMYFUNCTION("""COMPUTED_VALUE"""),"1. Go to manage form list.
2. Click on Modify form in Action.
3. Select question type as Choice type(Dropdown).
4. Select choice source as User Defined
5. Verify the option icons.")</f>
        <v>1. Go to manage form list.
2. Click on Modify form in Action.
3. Select question type as Choice type(Dropdown).
4. Select choice source as User Defined
5. Verify the option icons.</v>
      </c>
      <c r="M18" s="7" t="str">
        <f>IFERROR(__xludf.DUMMYFUNCTION("""COMPUTED_VALUE"""),"Serial number should be displayed.")</f>
        <v>Serial number should be displayed.</v>
      </c>
      <c r="N18" s="7" t="str">
        <f>IFERROR(__xludf.DUMMYFUNCTION("""COMPUTED_VALUE"""),"")</f>
        <v/>
      </c>
      <c r="O18" s="7" t="str">
        <f>IFERROR(__xludf.DUMMYFUNCTION("""COMPUTED_VALUE"""),"Serial number not showing in an ancending order.")</f>
        <v>Serial number not showing in an ancending order.</v>
      </c>
      <c r="P18" s="7" t="str">
        <f>IFERROR(__xludf.DUMMYFUNCTION("""COMPUTED_VALUE"""),"Fail")</f>
        <v>Fail</v>
      </c>
      <c r="Q18" s="7" t="str">
        <f>IFERROR(__xludf.DUMMYFUNCTION("""COMPUTED_VALUE"""),"Jaikishan")</f>
        <v>Jaikishan</v>
      </c>
      <c r="R18" s="8">
        <f>IFERROR(__xludf.DUMMYFUNCTION("""COMPUTED_VALUE"""),43795.0)</f>
        <v>43795</v>
      </c>
      <c r="S18" s="7" t="str">
        <f>IFERROR(__xludf.DUMMYFUNCTION("""COMPUTED_VALUE"""),"")</f>
        <v/>
      </c>
      <c r="T18" s="9" t="s">
        <v>67</v>
      </c>
      <c r="U18" s="7"/>
      <c r="V18" s="9" t="s">
        <v>11</v>
      </c>
      <c r="W18" s="9" t="s">
        <v>66</v>
      </c>
      <c r="X18" s="7"/>
      <c r="Y18" s="7"/>
      <c r="Z18" s="7"/>
    </row>
    <row r="19">
      <c r="A19" s="7" t="str">
        <f>IFERROR(__xludf.DUMMYFUNCTION("""COMPUTED_VALUE"""),"TCM_dKosh_General_SMF1_018_063")</f>
        <v>TCM_dKosh_General_SMF1_018_063</v>
      </c>
      <c r="B19" s="7" t="str">
        <f>IFERROR(__xludf.DUMMYFUNCTION("""COMPUTED_VALUE"""),"TP_dKosh_General_SMF1_018")</f>
        <v>TP_dKosh_General_SMF1_018</v>
      </c>
      <c r="C19" s="7">
        <f>IFERROR(__xludf.DUMMYFUNCTION("""COMPUTED_VALUE"""),63.0)</f>
        <v>63</v>
      </c>
      <c r="D19" s="7" t="str">
        <f>IFERROR(__xludf.DUMMYFUNCTION("""COMPUTED_VALUE"""),"Web, Mobile")</f>
        <v>Web, Mobile</v>
      </c>
      <c r="E19" s="7" t="str">
        <f>IFERROR(__xludf.DUMMYFUNCTION("""COMPUTED_VALUE"""),"User Defined Choice")</f>
        <v>User Defined Choice</v>
      </c>
      <c r="F19" s="7" t="str">
        <f>IFERROR(__xludf.DUMMYFUNCTION("""COMPUTED_VALUE"""),"Create")</f>
        <v>Create</v>
      </c>
      <c r="G19" s="7" t="str">
        <f>IFERROR(__xludf.DUMMYFUNCTION("""COMPUTED_VALUE"""),"M")</f>
        <v>M</v>
      </c>
      <c r="H19" s="7" t="str">
        <f>IFERROR(__xludf.DUMMYFUNCTION("""COMPUTED_VALUE"""),"Ankit")</f>
        <v>Ankit</v>
      </c>
      <c r="I19" s="7" t="str">
        <f>IFERROR(__xludf.DUMMYFUNCTION("""COMPUTED_VALUE"""),"UI")</f>
        <v>UI</v>
      </c>
      <c r="J19" s="7" t="str">
        <f>IFERROR(__xludf.DUMMYFUNCTION("""COMPUTED_VALUE"""),"")</f>
        <v/>
      </c>
      <c r="K19" s="7" t="str">
        <f>IFERROR(__xludf.DUMMYFUNCTION("""COMPUTED_VALUE"""),"Verify the Caption of the Shuffle choices field.")</f>
        <v>Verify the Caption of the Shuffle choices field.</v>
      </c>
      <c r="L19" s="7" t="str">
        <f>IFERROR(__xludf.DUMMYFUNCTION("""COMPUTED_VALUE"""),"1. Go to manage form list.
2. Click on Modify form in Action.
3. Select question type as Choice type.
4. Select choice source as User Defined
5. Verify the caption.")</f>
        <v>1. Go to manage form list.
2. Click on Modify form in Action.
3. Select question type as Choice type.
4. Select choice source as User Defined
5. Verify the caption.</v>
      </c>
      <c r="M19" s="7" t="str">
        <f>IFERROR(__xludf.DUMMYFUNCTION("""COMPUTED_VALUE"""),"Caption: Shuffle choices.")</f>
        <v>Caption: Shuffle choices.</v>
      </c>
      <c r="N19" s="7" t="str">
        <f>IFERROR(__xludf.DUMMYFUNCTION("""COMPUTED_VALUE"""),"")</f>
        <v/>
      </c>
      <c r="O19" s="7" t="str">
        <f>IFERROR(__xludf.DUMMYFUNCTION("""COMPUTED_VALUE"""),"Caption ""Shuffle choice"" , s is missing")</f>
        <v>Caption "Shuffle choice" , s is missing</v>
      </c>
      <c r="P19" s="7" t="str">
        <f>IFERROR(__xludf.DUMMYFUNCTION("""COMPUTED_VALUE"""),"Fail")</f>
        <v>Fail</v>
      </c>
      <c r="Q19" s="7" t="str">
        <f>IFERROR(__xludf.DUMMYFUNCTION("""COMPUTED_VALUE"""),"Jaikishan")</f>
        <v>Jaikishan</v>
      </c>
      <c r="R19" s="8">
        <f>IFERROR(__xludf.DUMMYFUNCTION("""COMPUTED_VALUE"""),43795.0)</f>
        <v>43795</v>
      </c>
      <c r="S19" s="7" t="str">
        <f>IFERROR(__xludf.DUMMYFUNCTION("""COMPUTED_VALUE"""),"")</f>
        <v/>
      </c>
      <c r="T19" s="15" t="s">
        <v>67</v>
      </c>
      <c r="U19" s="9" t="s">
        <v>71</v>
      </c>
      <c r="V19" s="9" t="s">
        <v>72</v>
      </c>
      <c r="W19" s="9" t="s">
        <v>66</v>
      </c>
      <c r="X19" s="7"/>
      <c r="Y19" s="7"/>
      <c r="Z19" s="7"/>
    </row>
    <row r="20">
      <c r="A20" s="7" t="str">
        <f>IFERROR(__xludf.DUMMYFUNCTION("""COMPUTED_VALUE"""),"TCM_dKosh_General_SMF1_018_065")</f>
        <v>TCM_dKosh_General_SMF1_018_065</v>
      </c>
      <c r="B20" s="7" t="str">
        <f>IFERROR(__xludf.DUMMYFUNCTION("""COMPUTED_VALUE"""),"TP_dKosh_General_SMF1_018")</f>
        <v>TP_dKosh_General_SMF1_018</v>
      </c>
      <c r="C20" s="7">
        <f>IFERROR(__xludf.DUMMYFUNCTION("""COMPUTED_VALUE"""),65.0)</f>
        <v>65</v>
      </c>
      <c r="D20" s="7" t="str">
        <f>IFERROR(__xludf.DUMMYFUNCTION("""COMPUTED_VALUE"""),"Web, Mobile")</f>
        <v>Web, Mobile</v>
      </c>
      <c r="E20" s="7" t="str">
        <f>IFERROR(__xludf.DUMMYFUNCTION("""COMPUTED_VALUE"""),"User Defined Choice")</f>
        <v>User Defined Choice</v>
      </c>
      <c r="F20" s="7" t="str">
        <f>IFERROR(__xludf.DUMMYFUNCTION("""COMPUTED_VALUE"""),"Create")</f>
        <v>Create</v>
      </c>
      <c r="G20" s="7" t="str">
        <f>IFERROR(__xludf.DUMMYFUNCTION("""COMPUTED_VALUE"""),"M")</f>
        <v>M</v>
      </c>
      <c r="H20" s="7" t="str">
        <f>IFERROR(__xludf.DUMMYFUNCTION("""COMPUTED_VALUE"""),"Jaikishan")</f>
        <v>Jaikishan</v>
      </c>
      <c r="I20" s="7" t="str">
        <f>IFERROR(__xludf.DUMMYFUNCTION("""COMPUTED_VALUE"""),"Functional")</f>
        <v>Functional</v>
      </c>
      <c r="J20" s="7" t="str">
        <f>IFERROR(__xludf.DUMMYFUNCTION("""COMPUTED_VALUE"""),"")</f>
        <v/>
      </c>
      <c r="K20" s="7" t="str">
        <f>IFERROR(__xludf.DUMMYFUNCTION("""COMPUTED_VALUE"""),"Verify the Suffle choices Toggle button is set as ""Yes"" and Ok.")</f>
        <v>Verify the Suffle choices Toggle button is set as "Yes" and Ok.</v>
      </c>
      <c r="L20" s="7" t="str">
        <f>IFERROR(__xludf.DUMMYFUNCTION("""COMPUTED_VALUE"""),"1. Go to manage form list.
2. Click on Modify form in Action.
3. Select question type as Choice type.
4. Select choice source as User Defined
5. Click on Shuffle choices.")</f>
        <v>1. Go to manage form list.
2. Click on Modify form in Action.
3. Select question type as Choice type.
4. Select choice source as User Defined
5. Click on Shuffle choices.</v>
      </c>
      <c r="M20" s="7" t="str">
        <f>IFERROR(__xludf.DUMMYFUNCTION("""COMPUTED_VALUE"""),"Choices should be shuffle in Question view.")</f>
        <v>Choices should be shuffle in Question view.</v>
      </c>
      <c r="N20" s="7" t="str">
        <f>IFERROR(__xludf.DUMMYFUNCTION("""COMPUTED_VALUE"""),"Shuffle in Preview or Modify??")</f>
        <v>Shuffle in Preview or Modify??</v>
      </c>
      <c r="O20" s="7" t="str">
        <f>IFERROR(__xludf.DUMMYFUNCTION("""COMPUTED_VALUE"""),"Choice not shuffled.")</f>
        <v>Choice not shuffled.</v>
      </c>
      <c r="P20" s="7" t="str">
        <f>IFERROR(__xludf.DUMMYFUNCTION("""COMPUTED_VALUE"""),"Fail")</f>
        <v>Fail</v>
      </c>
      <c r="Q20" s="7" t="str">
        <f>IFERROR(__xludf.DUMMYFUNCTION("""COMPUTED_VALUE"""),"Jaikishan")</f>
        <v>Jaikishan</v>
      </c>
      <c r="R20" s="8">
        <f>IFERROR(__xludf.DUMMYFUNCTION("""COMPUTED_VALUE"""),43795.0)</f>
        <v>43795</v>
      </c>
      <c r="S20" s="7" t="str">
        <f>IFERROR(__xludf.DUMMYFUNCTION("""COMPUTED_VALUE"""),"")</f>
        <v/>
      </c>
      <c r="T20" s="9" t="s">
        <v>67</v>
      </c>
      <c r="U20" s="7"/>
      <c r="V20" s="9" t="s">
        <v>29</v>
      </c>
      <c r="W20" s="9" t="s">
        <v>66</v>
      </c>
      <c r="X20" s="7"/>
      <c r="Y20" s="7"/>
      <c r="Z20" s="7"/>
    </row>
    <row r="21">
      <c r="A21" s="7" t="str">
        <f>IFERROR(__xludf.DUMMYFUNCTION("""COMPUTED_VALUE"""),"TCM_dKosh_General_SMF1_018_066")</f>
        <v>TCM_dKosh_General_SMF1_018_066</v>
      </c>
      <c r="B21" s="7" t="str">
        <f>IFERROR(__xludf.DUMMYFUNCTION("""COMPUTED_VALUE"""),"TP_dKosh_General_SMF1_018")</f>
        <v>TP_dKosh_General_SMF1_018</v>
      </c>
      <c r="C21" s="7">
        <f>IFERROR(__xludf.DUMMYFUNCTION("""COMPUTED_VALUE"""),66.0)</f>
        <v>66</v>
      </c>
      <c r="D21" s="7" t="str">
        <f>IFERROR(__xludf.DUMMYFUNCTION("""COMPUTED_VALUE"""),"Web, Mobile")</f>
        <v>Web, Mobile</v>
      </c>
      <c r="E21" s="7" t="str">
        <f>IFERROR(__xludf.DUMMYFUNCTION("""COMPUTED_VALUE"""),"User Defined Choice")</f>
        <v>User Defined Choice</v>
      </c>
      <c r="F21" s="7" t="str">
        <f>IFERROR(__xludf.DUMMYFUNCTION("""COMPUTED_VALUE"""),"Create")</f>
        <v>Create</v>
      </c>
      <c r="G21" s="7" t="str">
        <f>IFERROR(__xludf.DUMMYFUNCTION("""COMPUTED_VALUE"""),"M")</f>
        <v>M</v>
      </c>
      <c r="H21" s="7" t="str">
        <f>IFERROR(__xludf.DUMMYFUNCTION("""COMPUTED_VALUE"""),"Ankit")</f>
        <v>Ankit</v>
      </c>
      <c r="I21" s="7" t="str">
        <f>IFERROR(__xludf.DUMMYFUNCTION("""COMPUTED_VALUE"""),"Functional")</f>
        <v>Functional</v>
      </c>
      <c r="J21" s="7" t="str">
        <f>IFERROR(__xludf.DUMMYFUNCTION("""COMPUTED_VALUE"""),"")</f>
        <v/>
      </c>
      <c r="K21" s="7" t="str">
        <f>IFERROR(__xludf.DUMMYFUNCTION("""COMPUTED_VALUE"""),"Verify the change sequence functionality of the options")</f>
        <v>Verify the change sequence functionality of the options</v>
      </c>
      <c r="L21" s="7" t="str">
        <f>IFERROR(__xludf.DUMMYFUNCTION("""COMPUTED_VALUE"""),"1. Go to manage form list.
2. Click on Modify form in Action.
3. Select question type as Choice type.
4. Select choice source as User Defined
5. Change the sequence of the options.")</f>
        <v>1. Go to manage form list.
2. Click on Modify form in Action.
3. Select question type as Choice type.
4. Select choice source as User Defined
5. Change the sequence of the options.</v>
      </c>
      <c r="M21" s="7" t="str">
        <f>IFERROR(__xludf.DUMMYFUNCTION("""COMPUTED_VALUE"""),"")</f>
        <v/>
      </c>
      <c r="N21" s="7" t="str">
        <f>IFERROR(__xludf.DUMMYFUNCTION("""COMPUTED_VALUE"""),"")</f>
        <v/>
      </c>
      <c r="O21" s="7" t="str">
        <f>IFERROR(__xludf.DUMMYFUNCTION("""COMPUTED_VALUE"""),"Sequence changes in Pop-up but not in question view.")</f>
        <v>Sequence changes in Pop-up but not in question view.</v>
      </c>
      <c r="P21" s="7" t="str">
        <f>IFERROR(__xludf.DUMMYFUNCTION("""COMPUTED_VALUE"""),"Fail")</f>
        <v>Fail</v>
      </c>
      <c r="Q21" s="7" t="str">
        <f>IFERROR(__xludf.DUMMYFUNCTION("""COMPUTED_VALUE"""),"Jaikishan")</f>
        <v>Jaikishan</v>
      </c>
      <c r="R21" s="8">
        <f>IFERROR(__xludf.DUMMYFUNCTION("""COMPUTED_VALUE"""),43795.0)</f>
        <v>43795</v>
      </c>
      <c r="S21" s="7" t="str">
        <f>IFERROR(__xludf.DUMMYFUNCTION("""COMPUTED_VALUE"""),"")</f>
        <v/>
      </c>
      <c r="T21" s="7"/>
      <c r="U21" s="7"/>
      <c r="V21" s="9" t="s">
        <v>48</v>
      </c>
      <c r="W21" s="9" t="s">
        <v>66</v>
      </c>
      <c r="X21" s="7"/>
      <c r="Y21" s="7"/>
      <c r="Z21" s="7"/>
    </row>
    <row r="22">
      <c r="A22" s="7" t="str">
        <f>IFERROR(__xludf.DUMMYFUNCTION("""COMPUTED_VALUE"""),"TCM_dKosh_General_SMF1_017_068")</f>
        <v>TCM_dKosh_General_SMF1_017_068</v>
      </c>
      <c r="B22" s="7" t="str">
        <f>IFERROR(__xludf.DUMMYFUNCTION("""COMPUTED_VALUE"""),"TP_dKosh_General_SMF1_017")</f>
        <v>TP_dKosh_General_SMF1_017</v>
      </c>
      <c r="C22" s="7">
        <f>IFERROR(__xludf.DUMMYFUNCTION("""COMPUTED_VALUE"""),68.0)</f>
        <v>68</v>
      </c>
      <c r="D22" s="7" t="str">
        <f>IFERROR(__xludf.DUMMYFUNCTION("""COMPUTED_VALUE"""),"Web, Mobile")</f>
        <v>Web, Mobile</v>
      </c>
      <c r="E22" s="7" t="str">
        <f>IFERROR(__xludf.DUMMYFUNCTION("""COMPUTED_VALUE"""),"User Defined Choice")</f>
        <v>User Defined Choice</v>
      </c>
      <c r="F22" s="7" t="str">
        <f>IFERROR(__xludf.DUMMYFUNCTION("""COMPUTED_VALUE"""),"Create")</f>
        <v>Create</v>
      </c>
      <c r="G22" s="7" t="str">
        <f>IFERROR(__xludf.DUMMYFUNCTION("""COMPUTED_VALUE"""),"M")</f>
        <v>M</v>
      </c>
      <c r="H22" s="7" t="str">
        <f>IFERROR(__xludf.DUMMYFUNCTION("""COMPUTED_VALUE"""),"Ankit")</f>
        <v>Ankit</v>
      </c>
      <c r="I22" s="7" t="str">
        <f>IFERROR(__xludf.DUMMYFUNCTION("""COMPUTED_VALUE"""),"Validation")</f>
        <v>Validation</v>
      </c>
      <c r="J22" s="7" t="str">
        <f>IFERROR(__xludf.DUMMYFUNCTION("""COMPUTED_VALUE"""),"")</f>
        <v/>
      </c>
      <c r="K22" s="7" t="str">
        <f>IFERROR(__xludf.DUMMYFUNCTION("""COMPUTED_VALUE"""),"Verify the options are mandatory.")</f>
        <v>Verify the options are mandatory.</v>
      </c>
      <c r="L22" s="7" t="str">
        <f>IFERROR(__xludf.DUMMYFUNCTION("""COMPUTED_VALUE"""),"1. Go to manage form list.
2. Click on Modify form in Action.
3. Select question type as Choice type.
4. Select choice source as User Defined
5. Save the form without adding options.")</f>
        <v>1. Go to manage form list.
2. Click on Modify form in Action.
3. Select question type as Choice type.
4. Select choice source as User Defined
5. Save the form without adding options.</v>
      </c>
      <c r="M22" s="7" t="str">
        <f>IFERROR(__xludf.DUMMYFUNCTION("""COMPUTED_VALUE"""),"Form should not saved before adding atleast two option.")</f>
        <v>Form should not saved before adding atleast two option.</v>
      </c>
      <c r="N22" s="7" t="str">
        <f>IFERROR(__xludf.DUMMYFUNCTION("""COMPUTED_VALUE"""),"")</f>
        <v/>
      </c>
      <c r="O22" s="7" t="str">
        <f>IFERROR(__xludf.DUMMYFUNCTION("""COMPUTED_VALUE"""),"Form should save for 1 option.")</f>
        <v>Form should save for 1 option.</v>
      </c>
      <c r="P22" s="7" t="str">
        <f>IFERROR(__xludf.DUMMYFUNCTION("""COMPUTED_VALUE"""),"Fail")</f>
        <v>Fail</v>
      </c>
      <c r="Q22" s="7" t="str">
        <f>IFERROR(__xludf.DUMMYFUNCTION("""COMPUTED_VALUE"""),"Jaikishan")</f>
        <v>Jaikishan</v>
      </c>
      <c r="R22" s="8">
        <f>IFERROR(__xludf.DUMMYFUNCTION("""COMPUTED_VALUE"""),43795.0)</f>
        <v>43795</v>
      </c>
      <c r="S22" s="7" t="str">
        <f>IFERROR(__xludf.DUMMYFUNCTION("""COMPUTED_VALUE"""),"")</f>
        <v/>
      </c>
      <c r="T22" s="7"/>
      <c r="U22" s="7"/>
      <c r="V22" s="9" t="s">
        <v>48</v>
      </c>
      <c r="W22" s="9" t="s">
        <v>66</v>
      </c>
      <c r="X22" s="7"/>
      <c r="Y22" s="7"/>
      <c r="Z22" s="7"/>
    </row>
    <row r="23">
      <c r="A23" s="7" t="str">
        <f>IFERROR(__xludf.DUMMYFUNCTION("""COMPUTED_VALUE"""),"TCM_dKosh_General_SMF1_017_070")</f>
        <v>TCM_dKosh_General_SMF1_017_070</v>
      </c>
      <c r="B23" s="7" t="str">
        <f>IFERROR(__xludf.DUMMYFUNCTION("""COMPUTED_VALUE"""),"TP_dKosh_General_SMF1_017")</f>
        <v>TP_dKosh_General_SMF1_017</v>
      </c>
      <c r="C23" s="7">
        <f>IFERROR(__xludf.DUMMYFUNCTION("""COMPUTED_VALUE"""),70.0)</f>
        <v>70</v>
      </c>
      <c r="D23" s="7" t="str">
        <f>IFERROR(__xludf.DUMMYFUNCTION("""COMPUTED_VALUE"""),"Web, Mobile")</f>
        <v>Web, Mobile</v>
      </c>
      <c r="E23" s="7" t="str">
        <f>IFERROR(__xludf.DUMMYFUNCTION("""COMPUTED_VALUE"""),"User Defined Choice")</f>
        <v>User Defined Choice</v>
      </c>
      <c r="F23" s="7" t="str">
        <f>IFERROR(__xludf.DUMMYFUNCTION("""COMPUTED_VALUE"""),"Create")</f>
        <v>Create</v>
      </c>
      <c r="G23" s="7" t="str">
        <f>IFERROR(__xludf.DUMMYFUNCTION("""COMPUTED_VALUE"""),"M")</f>
        <v>M</v>
      </c>
      <c r="H23" s="7" t="str">
        <f>IFERROR(__xludf.DUMMYFUNCTION("""COMPUTED_VALUE"""),"Ankit")</f>
        <v>Ankit</v>
      </c>
      <c r="I23" s="7" t="str">
        <f>IFERROR(__xludf.DUMMYFUNCTION("""COMPUTED_VALUE"""),"Functional")</f>
        <v>Functional</v>
      </c>
      <c r="J23" s="7" t="str">
        <f>IFERROR(__xludf.DUMMYFUNCTION("""COMPUTED_VALUE"""),"")</f>
        <v/>
      </c>
      <c r="K23" s="7" t="str">
        <f>IFERROR(__xludf.DUMMYFUNCTION("""COMPUTED_VALUE"""),"Verify the form is saving after filling the optiona and click on Ok button.")</f>
        <v>Verify the form is saving after filling the optiona and click on Ok button.</v>
      </c>
      <c r="L23" s="7" t="str">
        <f>IFERROR(__xludf.DUMMYFUNCTION("""COMPUTED_VALUE"""),"1. Go to manage form list.
2. Click on Modify form in Action.
3. Select question type as Choice type.
4. Select choice source as User Defined
5. Verify the caption of the button.")</f>
        <v>1. Go to manage form list.
2. Click on Modify form in Action.
3. Select question type as Choice type.
4. Select choice source as User Defined
5. Verify the caption of the button.</v>
      </c>
      <c r="M23" s="7" t="str">
        <f>IFERROR(__xludf.DUMMYFUNCTION("""COMPUTED_VALUE"""),"Form should not saved before adding atleast two option.")</f>
        <v>Form should not saved before adding atleast two option.</v>
      </c>
      <c r="N23" s="7" t="str">
        <f>IFERROR(__xludf.DUMMYFUNCTION("""COMPUTED_VALUE"""),"")</f>
        <v/>
      </c>
      <c r="O23" s="7" t="str">
        <f>IFERROR(__xludf.DUMMYFUNCTION("""COMPUTED_VALUE"""),"Form should save for 1 option.")</f>
        <v>Form should save for 1 option.</v>
      </c>
      <c r="P23" s="7" t="str">
        <f>IFERROR(__xludf.DUMMYFUNCTION("""COMPUTED_VALUE"""),"Fail")</f>
        <v>Fail</v>
      </c>
      <c r="Q23" s="7" t="str">
        <f>IFERROR(__xludf.DUMMYFUNCTION("""COMPUTED_VALUE"""),"Jaikishan")</f>
        <v>Jaikishan</v>
      </c>
      <c r="R23" s="8">
        <f>IFERROR(__xludf.DUMMYFUNCTION("""COMPUTED_VALUE"""),43795.0)</f>
        <v>43795</v>
      </c>
      <c r="S23" s="7" t="str">
        <f>IFERROR(__xludf.DUMMYFUNCTION("""COMPUTED_VALUE"""),"")</f>
        <v/>
      </c>
      <c r="T23" s="9" t="s">
        <v>67</v>
      </c>
      <c r="U23" s="7"/>
      <c r="V23" s="9" t="s">
        <v>11</v>
      </c>
      <c r="W23" s="9" t="s">
        <v>66</v>
      </c>
      <c r="X23" s="7"/>
      <c r="Y23" s="7"/>
      <c r="Z23" s="7"/>
    </row>
    <row r="24">
      <c r="A24" s="7" t="str">
        <f>IFERROR(__xludf.DUMMYFUNCTION("""COMPUTED_VALUE"""),"TCM_dKosh_General_SMF1_018_082")</f>
        <v>TCM_dKosh_General_SMF1_018_082</v>
      </c>
      <c r="B24" s="7" t="str">
        <f>IFERROR(__xludf.DUMMYFUNCTION("""COMPUTED_VALUE"""),"TP_dKosh_General_SMF1_018")</f>
        <v>TP_dKosh_General_SMF1_018</v>
      </c>
      <c r="C24" s="7">
        <f>IFERROR(__xludf.DUMMYFUNCTION("""COMPUTED_VALUE"""),82.0)</f>
        <v>82</v>
      </c>
      <c r="D24" s="7" t="str">
        <f>IFERROR(__xludf.DUMMYFUNCTION("""COMPUTED_VALUE"""),"Web, Mobile")</f>
        <v>Web, Mobile</v>
      </c>
      <c r="E24" s="7" t="str">
        <f>IFERROR(__xludf.DUMMYFUNCTION("""COMPUTED_VALUE"""),"Manage Query Pop up")</f>
        <v>Manage Query Pop up</v>
      </c>
      <c r="F24" s="7" t="str">
        <f>IFERROR(__xludf.DUMMYFUNCTION("""COMPUTED_VALUE"""),"Create")</f>
        <v>Create</v>
      </c>
      <c r="G24" s="7" t="str">
        <f>IFERROR(__xludf.DUMMYFUNCTION("""COMPUTED_VALUE"""),"M")</f>
        <v>M</v>
      </c>
      <c r="H24" s="7" t="str">
        <f>IFERROR(__xludf.DUMMYFUNCTION("""COMPUTED_VALUE"""),"Ankit")</f>
        <v>Ankit</v>
      </c>
      <c r="I24" s="7" t="str">
        <f>IFERROR(__xludf.DUMMYFUNCTION("""COMPUTED_VALUE"""),"Functional")</f>
        <v>Functional</v>
      </c>
      <c r="J24" s="7" t="str">
        <f>IFERROR(__xludf.DUMMYFUNCTION("""COMPUTED_VALUE"""),"")</f>
        <v/>
      </c>
      <c r="K24" s="7" t="str">
        <f>IFERROR(__xludf.DUMMYFUNCTION("""COMPUTED_VALUE"""),"Verify the Dependent Question Section is shown when user check the Depends on checkbox.")</f>
        <v>Verify the Dependent Question Section is shown when user check the Depends on checkbox.</v>
      </c>
      <c r="L24" s="7" t="str">
        <f>IFERROR(__xludf.DUMMYFUNCTION("""COMPUTED_VALUE"""),"1. Go to manage form list.
2. Click on Modify form in Action.
3. Select question type as Choice type.
4. Select choice source as Query
5. Click on checkbox")</f>
        <v>1. Go to manage form list.
2. Click on Modify form in Action.
3. Select question type as Choice type.
4. Select choice source as Query
5. Click on checkbox</v>
      </c>
      <c r="M24" s="7" t="str">
        <f>IFERROR(__xludf.DUMMYFUNCTION("""COMPUTED_VALUE"""),"Section should be shown when checkbox is checked.")</f>
        <v>Section should be shown when checkbox is checked.</v>
      </c>
      <c r="N24" s="7" t="str">
        <f>IFERROR(__xludf.DUMMYFUNCTION("""COMPUTED_VALUE"""),"")</f>
        <v/>
      </c>
      <c r="O24" s="7" t="str">
        <f>IFERROR(__xludf.DUMMYFUNCTION("""COMPUTED_VALUE"""),"Bydefault one row is not showing.")</f>
        <v>Bydefault one row is not showing.</v>
      </c>
      <c r="P24" s="7" t="str">
        <f>IFERROR(__xludf.DUMMYFUNCTION("""COMPUTED_VALUE"""),"Fail")</f>
        <v>Fail</v>
      </c>
      <c r="Q24" s="7" t="str">
        <f>IFERROR(__xludf.DUMMYFUNCTION("""COMPUTED_VALUE"""),"Jaikishan")</f>
        <v>Jaikishan</v>
      </c>
      <c r="R24" s="8">
        <f>IFERROR(__xludf.DUMMYFUNCTION("""COMPUTED_VALUE"""),43795.0)</f>
        <v>43795</v>
      </c>
      <c r="S24" s="7" t="str">
        <f>IFERROR(__xludf.DUMMYFUNCTION("""COMPUTED_VALUE"""),"")</f>
        <v/>
      </c>
      <c r="T24" s="9" t="s">
        <v>67</v>
      </c>
      <c r="U24" s="7"/>
      <c r="V24" s="9" t="s">
        <v>11</v>
      </c>
      <c r="W24" s="9" t="s">
        <v>66</v>
      </c>
      <c r="X24" s="7"/>
      <c r="Y24" s="7"/>
      <c r="Z24" s="7"/>
    </row>
    <row r="25">
      <c r="A25" s="7" t="str">
        <f>IFERROR(__xludf.DUMMYFUNCTION("""COMPUTED_VALUE"""),"TCM_dKosh_General_SMF1_018_088")</f>
        <v>TCM_dKosh_General_SMF1_018_088</v>
      </c>
      <c r="B25" s="7" t="str">
        <f>IFERROR(__xludf.DUMMYFUNCTION("""COMPUTED_VALUE"""),"TP_dKosh_General_SMF1_018")</f>
        <v>TP_dKosh_General_SMF1_018</v>
      </c>
      <c r="C25" s="7">
        <f>IFERROR(__xludf.DUMMYFUNCTION("""COMPUTED_VALUE"""),88.0)</f>
        <v>88</v>
      </c>
      <c r="D25" s="7" t="str">
        <f>IFERROR(__xludf.DUMMYFUNCTION("""COMPUTED_VALUE"""),"Web, Mobile")</f>
        <v>Web, Mobile</v>
      </c>
      <c r="E25" s="7" t="str">
        <f>IFERROR(__xludf.DUMMYFUNCTION("""COMPUTED_VALUE"""),"Manage Query Pop up")</f>
        <v>Manage Query Pop up</v>
      </c>
      <c r="F25" s="7" t="str">
        <f>IFERROR(__xludf.DUMMYFUNCTION("""COMPUTED_VALUE"""),"Create")</f>
        <v>Create</v>
      </c>
      <c r="G25" s="7" t="str">
        <f>IFERROR(__xludf.DUMMYFUNCTION("""COMPUTED_VALUE"""),"M")</f>
        <v>M</v>
      </c>
      <c r="H25" s="7" t="str">
        <f>IFERROR(__xludf.DUMMYFUNCTION("""COMPUTED_VALUE"""),"Jaikishan")</f>
        <v>Jaikishan</v>
      </c>
      <c r="I25" s="7" t="str">
        <f>IFERROR(__xludf.DUMMYFUNCTION("""COMPUTED_VALUE"""),"Functional")</f>
        <v>Functional</v>
      </c>
      <c r="J25" s="7" t="str">
        <f>IFERROR(__xludf.DUMMYFUNCTION("""COMPUTED_VALUE"""),"")</f>
        <v/>
      </c>
      <c r="K25" s="7" t="str">
        <f>IFERROR(__xludf.DUMMYFUNCTION("""COMPUTED_VALUE"""),"Verify , Ok button when no data is filled.")</f>
        <v>Verify , Ok button when no data is filled.</v>
      </c>
      <c r="L25" s="7" t="str">
        <f>IFERROR(__xludf.DUMMYFUNCTION("""COMPUTED_VALUE"""),"1. Go to manage form list.
2. Click on Modify form in Action.
3. Select question type as Choice type.
4. Select choice source as Query
5. Click on OK button")</f>
        <v>1. Go to manage form list.
2. Click on Modify form in Action.
3. Select question type as Choice type.
4. Select choice source as Query
5. Click on OK button</v>
      </c>
      <c r="M25" s="7" t="str">
        <f>IFERROR(__xludf.DUMMYFUNCTION("""COMPUTED_VALUE"""),"Message ""Please fill query""")</f>
        <v>Message "Please fill query"</v>
      </c>
      <c r="N25" s="7" t="str">
        <f>IFERROR(__xludf.DUMMYFUNCTION("""COMPUTED_VALUE"""),"")</f>
        <v/>
      </c>
      <c r="O25" s="7" t="str">
        <f>IFERROR(__xludf.DUMMYFUNCTION("""COMPUTED_VALUE"""),"Showing database exception.")</f>
        <v>Showing database exception.</v>
      </c>
      <c r="P25" s="7" t="str">
        <f>IFERROR(__xludf.DUMMYFUNCTION("""COMPUTED_VALUE"""),"Fail")</f>
        <v>Fail</v>
      </c>
      <c r="Q25" s="7" t="str">
        <f>IFERROR(__xludf.DUMMYFUNCTION("""COMPUTED_VALUE"""),"Jaikishan")</f>
        <v>Jaikishan</v>
      </c>
      <c r="R25" s="8">
        <f>IFERROR(__xludf.DUMMYFUNCTION("""COMPUTED_VALUE"""),43795.0)</f>
        <v>43795</v>
      </c>
      <c r="S25" s="7" t="str">
        <f>IFERROR(__xludf.DUMMYFUNCTION("""COMPUTED_VALUE"""),"")</f>
        <v/>
      </c>
      <c r="T25" s="9" t="s">
        <v>67</v>
      </c>
      <c r="U25" s="7"/>
      <c r="V25" s="9" t="s">
        <v>11</v>
      </c>
      <c r="W25" s="9" t="s">
        <v>66</v>
      </c>
      <c r="X25" s="7"/>
      <c r="Y25" s="7"/>
      <c r="Z25" s="7"/>
    </row>
    <row r="26">
      <c r="A26" s="7" t="str">
        <f>IFERROR(__xludf.DUMMYFUNCTION("""COMPUTED_VALUE"""),"TCM_dKosh_General_SMF1_018_089")</f>
        <v>TCM_dKosh_General_SMF1_018_089</v>
      </c>
      <c r="B26" s="7" t="str">
        <f>IFERROR(__xludf.DUMMYFUNCTION("""COMPUTED_VALUE"""),"TP_dKosh_General_SMF1_018")</f>
        <v>TP_dKosh_General_SMF1_018</v>
      </c>
      <c r="C26" s="7">
        <f>IFERROR(__xludf.DUMMYFUNCTION("""COMPUTED_VALUE"""),89.0)</f>
        <v>89</v>
      </c>
      <c r="D26" s="7" t="str">
        <f>IFERROR(__xludf.DUMMYFUNCTION("""COMPUTED_VALUE"""),"Web, Mobile")</f>
        <v>Web, Mobile</v>
      </c>
      <c r="E26" s="7" t="str">
        <f>IFERROR(__xludf.DUMMYFUNCTION("""COMPUTED_VALUE"""),"Manage Query Pop up")</f>
        <v>Manage Query Pop up</v>
      </c>
      <c r="F26" s="7" t="str">
        <f>IFERROR(__xludf.DUMMYFUNCTION("""COMPUTED_VALUE"""),"Create")</f>
        <v>Create</v>
      </c>
      <c r="G26" s="7" t="str">
        <f>IFERROR(__xludf.DUMMYFUNCTION("""COMPUTED_VALUE"""),"M")</f>
        <v>M</v>
      </c>
      <c r="H26" s="7" t="str">
        <f>IFERROR(__xludf.DUMMYFUNCTION("""COMPUTED_VALUE"""),"Jaikishan")</f>
        <v>Jaikishan</v>
      </c>
      <c r="I26" s="7" t="str">
        <f>IFERROR(__xludf.DUMMYFUNCTION("""COMPUTED_VALUE"""),"Functional")</f>
        <v>Functional</v>
      </c>
      <c r="J26" s="7" t="str">
        <f>IFERROR(__xludf.DUMMYFUNCTION("""COMPUTED_VALUE"""),"")</f>
        <v/>
      </c>
      <c r="K26" s="7" t="str">
        <f>IFERROR(__xludf.DUMMYFUNCTION("""COMPUTED_VALUE"""),"Verify, View Result button when not fill data in query.")</f>
        <v>Verify, View Result button when not fill data in query.</v>
      </c>
      <c r="L26" s="7" t="str">
        <f>IFERROR(__xludf.DUMMYFUNCTION("""COMPUTED_VALUE"""),"1. Go to manage form list.
2. Click on Modify form in Action.
3. Select question type as Choice type.
4. Select choice source as Query
5. Verify the data of Section dropdown.")</f>
        <v>1. Go to manage form list.
2. Click on Modify form in Action.
3. Select question type as Choice type.
4. Select choice source as Query
5. Verify the data of Section dropdown.</v>
      </c>
      <c r="M26" s="7" t="str">
        <f>IFERROR(__xludf.DUMMYFUNCTION("""COMPUTED_VALUE"""),"Please fill query first")</f>
        <v>Please fill query first</v>
      </c>
      <c r="N26" s="7" t="str">
        <f>IFERROR(__xludf.DUMMYFUNCTION("""COMPUTED_VALUE"""),"")</f>
        <v/>
      </c>
      <c r="O26" s="7" t="str">
        <f>IFERROR(__xludf.DUMMYFUNCTION("""COMPUTED_VALUE"""),"Showing database exception.")</f>
        <v>Showing database exception.</v>
      </c>
      <c r="P26" s="7" t="str">
        <f>IFERROR(__xludf.DUMMYFUNCTION("""COMPUTED_VALUE"""),"Fail")</f>
        <v>Fail</v>
      </c>
      <c r="Q26" s="7" t="str">
        <f>IFERROR(__xludf.DUMMYFUNCTION("""COMPUTED_VALUE"""),"Jaikishan")</f>
        <v>Jaikishan</v>
      </c>
      <c r="R26" s="8">
        <f>IFERROR(__xludf.DUMMYFUNCTION("""COMPUTED_VALUE"""),43795.0)</f>
        <v>43795</v>
      </c>
      <c r="S26" s="7" t="str">
        <f>IFERROR(__xludf.DUMMYFUNCTION("""COMPUTED_VALUE"""),"")</f>
        <v/>
      </c>
      <c r="T26" s="9" t="s">
        <v>67</v>
      </c>
      <c r="U26" s="7"/>
      <c r="V26" s="9" t="s">
        <v>11</v>
      </c>
      <c r="W26" s="9" t="s">
        <v>66</v>
      </c>
      <c r="X26" s="9" t="s">
        <v>73</v>
      </c>
      <c r="Y26" s="7"/>
      <c r="Z26" s="7"/>
    </row>
    <row r="27">
      <c r="A27" s="7" t="str">
        <f>IFERROR(__xludf.DUMMYFUNCTION("""COMPUTED_VALUE"""),"TCM_dKosh_General_SMF1_018_090")</f>
        <v>TCM_dKosh_General_SMF1_018_090</v>
      </c>
      <c r="B27" s="7" t="str">
        <f>IFERROR(__xludf.DUMMYFUNCTION("""COMPUTED_VALUE"""),"TP_dKosh_General_SMF1_018")</f>
        <v>TP_dKosh_General_SMF1_018</v>
      </c>
      <c r="C27" s="7">
        <f>IFERROR(__xludf.DUMMYFUNCTION("""COMPUTED_VALUE"""),90.0)</f>
        <v>90</v>
      </c>
      <c r="D27" s="7" t="str">
        <f>IFERROR(__xludf.DUMMYFUNCTION("""COMPUTED_VALUE"""),"Web, Mobile")</f>
        <v>Web, Mobile</v>
      </c>
      <c r="E27" s="7" t="str">
        <f>IFERROR(__xludf.DUMMYFUNCTION("""COMPUTED_VALUE"""),"Manage Query Pop up")</f>
        <v>Manage Query Pop up</v>
      </c>
      <c r="F27" s="7" t="str">
        <f>IFERROR(__xludf.DUMMYFUNCTION("""COMPUTED_VALUE"""),"Create")</f>
        <v>Create</v>
      </c>
      <c r="G27" s="7" t="str">
        <f>IFERROR(__xludf.DUMMYFUNCTION("""COMPUTED_VALUE"""),"M")</f>
        <v>M</v>
      </c>
      <c r="H27" s="7" t="str">
        <f>IFERROR(__xludf.DUMMYFUNCTION("""COMPUTED_VALUE"""),"Jaikishan")</f>
        <v>Jaikishan</v>
      </c>
      <c r="I27" s="7" t="str">
        <f>IFERROR(__xludf.DUMMYFUNCTION("""COMPUTED_VALUE"""),"Functional")</f>
        <v>Functional</v>
      </c>
      <c r="J27" s="7" t="str">
        <f>IFERROR(__xludf.DUMMYFUNCTION("""COMPUTED_VALUE"""),"")</f>
        <v/>
      </c>
      <c r="K27" s="7" t="str">
        <f>IFERROR(__xludf.DUMMYFUNCTION("""COMPUTED_VALUE"""),"Verify the data in Question dropdown when select different section.")</f>
        <v>Verify the data in Question dropdown when select different section.</v>
      </c>
      <c r="L27" s="7" t="str">
        <f>IFERROR(__xludf.DUMMYFUNCTION("""COMPUTED_VALUE"""),"1. Go to manage form list.
2. Click on Modify form in Action.
3. Select question type as Choice type.
4. Select choice source as Query
5. Verify the data of Question dropdown.")</f>
        <v>1. Go to manage form list.
2. Click on Modify form in Action.
3. Select question type as Choice type.
4. Select choice source as Query
5. Verify the data of Question dropdown.</v>
      </c>
      <c r="M27" s="7" t="str">
        <f>IFERROR(__xludf.DUMMYFUNCTION("""COMPUTED_VALUE"""),"Question related to that section showing in question dropdown")</f>
        <v>Question related to that section showing in question dropdown</v>
      </c>
      <c r="N27" s="7" t="str">
        <f>IFERROR(__xludf.DUMMYFUNCTION("""COMPUTED_VALUE"""),"")</f>
        <v/>
      </c>
      <c r="O27" s="7" t="str">
        <f>IFERROR(__xludf.DUMMYFUNCTION("""COMPUTED_VALUE"""),"Not showing question related to section")</f>
        <v>Not showing question related to section</v>
      </c>
      <c r="P27" s="7" t="str">
        <f>IFERROR(__xludf.DUMMYFUNCTION("""COMPUTED_VALUE"""),"Fail")</f>
        <v>Fail</v>
      </c>
      <c r="Q27" s="7" t="str">
        <f>IFERROR(__xludf.DUMMYFUNCTION("""COMPUTED_VALUE"""),"Jaikishan")</f>
        <v>Jaikishan</v>
      </c>
      <c r="R27" s="8">
        <f>IFERROR(__xludf.DUMMYFUNCTION("""COMPUTED_VALUE"""),43795.0)</f>
        <v>43795</v>
      </c>
      <c r="S27" s="7" t="str">
        <f>IFERROR(__xludf.DUMMYFUNCTION("""COMPUTED_VALUE"""),"")</f>
        <v/>
      </c>
      <c r="T27" s="9" t="s">
        <v>10</v>
      </c>
      <c r="U27" s="9" t="s">
        <v>8</v>
      </c>
      <c r="V27" s="9" t="s">
        <v>11</v>
      </c>
      <c r="W27" s="9" t="s">
        <v>66</v>
      </c>
      <c r="X27" s="7"/>
      <c r="Y27" s="7"/>
      <c r="Z27" s="7"/>
    </row>
    <row r="28">
      <c r="A28" s="7" t="str">
        <f>IFERROR(__xludf.DUMMYFUNCTION("""COMPUTED_VALUE"""),"TCM_dKosh_General_SMF1_018_091")</f>
        <v>TCM_dKosh_General_SMF1_018_091</v>
      </c>
      <c r="B28" s="7" t="str">
        <f>IFERROR(__xludf.DUMMYFUNCTION("""COMPUTED_VALUE"""),"TP_dKosh_General_SMF1_018")</f>
        <v>TP_dKosh_General_SMF1_018</v>
      </c>
      <c r="C28" s="7">
        <f>IFERROR(__xludf.DUMMYFUNCTION("""COMPUTED_VALUE"""),91.0)</f>
        <v>91</v>
      </c>
      <c r="D28" s="7" t="str">
        <f>IFERROR(__xludf.DUMMYFUNCTION("""COMPUTED_VALUE"""),"Web, Mobile")</f>
        <v>Web, Mobile</v>
      </c>
      <c r="E28" s="7" t="str">
        <f>IFERROR(__xludf.DUMMYFUNCTION("""COMPUTED_VALUE"""),"Manage Query Pop up")</f>
        <v>Manage Query Pop up</v>
      </c>
      <c r="F28" s="7" t="str">
        <f>IFERROR(__xludf.DUMMYFUNCTION("""COMPUTED_VALUE"""),"Create")</f>
        <v>Create</v>
      </c>
      <c r="G28" s="7" t="str">
        <f>IFERROR(__xludf.DUMMYFUNCTION("""COMPUTED_VALUE"""),"M")</f>
        <v>M</v>
      </c>
      <c r="H28" s="7" t="str">
        <f>IFERROR(__xludf.DUMMYFUNCTION("""COMPUTED_VALUE"""),"Ankit")</f>
        <v>Ankit</v>
      </c>
      <c r="I28" s="7" t="str">
        <f>IFERROR(__xludf.DUMMYFUNCTION("""COMPUTED_VALUE"""),"Functional")</f>
        <v>Functional</v>
      </c>
      <c r="J28" s="7" t="str">
        <f>IFERROR(__xludf.DUMMYFUNCTION("""COMPUTED_VALUE"""),"")</f>
        <v/>
      </c>
      <c r="K28" s="7" t="str">
        <f>IFERROR(__xludf.DUMMYFUNCTION("""COMPUTED_VALUE"""),"Verify the data in Question dropdown.")</f>
        <v>Verify the data in Question dropdown.</v>
      </c>
      <c r="L28" s="7" t="str">
        <f>IFERROR(__xludf.DUMMYFUNCTION("""COMPUTED_VALUE"""),"1. Go to manage form list.
2. Click on Modify form in Action.
3. Select question type as Choice type.
4. Select choice source as Query
5. Verify the data of Question dropdown.")</f>
        <v>1. Go to manage form list.
2. Click on Modify form in Action.
3. Select question type as Choice type.
4. Select choice source as Query
5. Verify the data of Question dropdown.</v>
      </c>
      <c r="M28" s="7" t="str">
        <f>IFERROR(__xludf.DUMMYFUNCTION("""COMPUTED_VALUE"""),"All short name of questions which are define before this question. ")</f>
        <v>All short name of questions which are define before this question. </v>
      </c>
      <c r="N28" s="7" t="str">
        <f>IFERROR(__xludf.DUMMYFUNCTION("""COMPUTED_VALUE"""),"")</f>
        <v/>
      </c>
      <c r="O28" s="7" t="str">
        <f>IFERROR(__xludf.DUMMYFUNCTION("""COMPUTED_VALUE"""),"Question name displaying of short name.
")</f>
        <v>Question name displaying of short name.
</v>
      </c>
      <c r="P28" s="7" t="str">
        <f>IFERROR(__xludf.DUMMYFUNCTION("""COMPUTED_VALUE"""),"Fail")</f>
        <v>Fail</v>
      </c>
      <c r="Q28" s="7" t="str">
        <f>IFERROR(__xludf.DUMMYFUNCTION("""COMPUTED_VALUE"""),"Jaikishan")</f>
        <v>Jaikishan</v>
      </c>
      <c r="R28" s="8">
        <f>IFERROR(__xludf.DUMMYFUNCTION("""COMPUTED_VALUE"""),43795.0)</f>
        <v>43795</v>
      </c>
      <c r="S28" s="7" t="str">
        <f>IFERROR(__xludf.DUMMYFUNCTION("""COMPUTED_VALUE"""),"")</f>
        <v/>
      </c>
      <c r="T28" s="9" t="s">
        <v>10</v>
      </c>
      <c r="U28" s="7"/>
      <c r="V28" s="9" t="s">
        <v>11</v>
      </c>
      <c r="W28" s="9" t="s">
        <v>66</v>
      </c>
      <c r="X28" s="7"/>
      <c r="Y28" s="7"/>
      <c r="Z28" s="7"/>
    </row>
    <row r="29">
      <c r="A29" s="7" t="str">
        <f>IFERROR(__xludf.DUMMYFUNCTION("""COMPUTED_VALUE"""),"TCM_dKosh_General_SMF1_018_093")</f>
        <v>TCM_dKosh_General_SMF1_018_093</v>
      </c>
      <c r="B29" s="7" t="str">
        <f>IFERROR(__xludf.DUMMYFUNCTION("""COMPUTED_VALUE"""),"TP_dKosh_General_SMF1_018")</f>
        <v>TP_dKosh_General_SMF1_018</v>
      </c>
      <c r="C29" s="7">
        <f>IFERROR(__xludf.DUMMYFUNCTION("""COMPUTED_VALUE"""),93.0)</f>
        <v>93</v>
      </c>
      <c r="D29" s="7" t="str">
        <f>IFERROR(__xludf.DUMMYFUNCTION("""COMPUTED_VALUE"""),"Web, Mobile")</f>
        <v>Web, Mobile</v>
      </c>
      <c r="E29" s="7" t="str">
        <f>IFERROR(__xludf.DUMMYFUNCTION("""COMPUTED_VALUE"""),"Manage Query Pop up")</f>
        <v>Manage Query Pop up</v>
      </c>
      <c r="F29" s="7" t="str">
        <f>IFERROR(__xludf.DUMMYFUNCTION("""COMPUTED_VALUE"""),"Create")</f>
        <v>Create</v>
      </c>
      <c r="G29" s="7" t="str">
        <f>IFERROR(__xludf.DUMMYFUNCTION("""COMPUTED_VALUE"""),"M")</f>
        <v>M</v>
      </c>
      <c r="H29" s="7" t="str">
        <f>IFERROR(__xludf.DUMMYFUNCTION("""COMPUTED_VALUE"""),"Ankit")</f>
        <v>Ankit</v>
      </c>
      <c r="I29" s="7" t="str">
        <f>IFERROR(__xludf.DUMMYFUNCTION("""COMPUTED_VALUE"""),"UI")</f>
        <v>UI</v>
      </c>
      <c r="J29" s="7" t="str">
        <f>IFERROR(__xludf.DUMMYFUNCTION("""COMPUTED_VALUE"""),"")</f>
        <v/>
      </c>
      <c r="K29" s="7" t="str">
        <f>IFERROR(__xludf.DUMMYFUNCTION("""COMPUTED_VALUE"""),"Verify the Caption of the Mysql field.")</f>
        <v>Verify the Caption of the Mysql field.</v>
      </c>
      <c r="L29" s="7" t="str">
        <f>IFERROR(__xludf.DUMMYFUNCTION("""COMPUTED_VALUE"""),"1. Go to manage form list.
2. Click on Modify form in Action.
3. Select question type as Choice type.
4. Select choice source as Query
5. Verify the caption and field")</f>
        <v>1. Go to manage form list.
2. Click on Modify form in Action.
3. Select question type as Choice type.
4. Select choice source as Query
5. Verify the caption and field</v>
      </c>
      <c r="M29" s="7" t="str">
        <f>IFERROR(__xludf.DUMMYFUNCTION("""COMPUTED_VALUE"""),"Caption: Mysql
Control Type: Textarea")</f>
        <v>Caption: Mysql
Control Type: Textarea</v>
      </c>
      <c r="N29" s="7" t="str">
        <f>IFERROR(__xludf.DUMMYFUNCTION("""COMPUTED_VALUE"""),"")</f>
        <v/>
      </c>
      <c r="O29" s="7" t="str">
        <f>IFERROR(__xludf.DUMMYFUNCTION("""COMPUTED_VALUE"""),"MySql , s should be small")</f>
        <v>MySql , s should be small</v>
      </c>
      <c r="P29" s="7" t="str">
        <f>IFERROR(__xludf.DUMMYFUNCTION("""COMPUTED_VALUE"""),"Fail")</f>
        <v>Fail</v>
      </c>
      <c r="Q29" s="7" t="str">
        <f>IFERROR(__xludf.DUMMYFUNCTION("""COMPUTED_VALUE"""),"")</f>
        <v/>
      </c>
      <c r="R29" s="8">
        <f>IFERROR(__xludf.DUMMYFUNCTION("""COMPUTED_VALUE"""),43797.0)</f>
        <v>43797</v>
      </c>
      <c r="S29" s="7" t="str">
        <f>IFERROR(__xludf.DUMMYFUNCTION("""COMPUTED_VALUE"""),"")</f>
        <v/>
      </c>
      <c r="T29" s="9" t="s">
        <v>10</v>
      </c>
      <c r="U29" s="7"/>
      <c r="V29" s="9" t="s">
        <v>48</v>
      </c>
      <c r="W29" s="9" t="s">
        <v>66</v>
      </c>
      <c r="X29" s="9" t="s">
        <v>74</v>
      </c>
      <c r="Y29" s="7"/>
      <c r="Z29" s="7"/>
    </row>
    <row r="30">
      <c r="A30" s="7" t="str">
        <f>IFERROR(__xludf.DUMMYFUNCTION("""COMPUTED_VALUE"""),"TCM_dKosh_General_SMF1_018_095")</f>
        <v>TCM_dKosh_General_SMF1_018_095</v>
      </c>
      <c r="B30" s="7" t="str">
        <f>IFERROR(__xludf.DUMMYFUNCTION("""COMPUTED_VALUE"""),"TP_dKosh_General_SMF1_018")</f>
        <v>TP_dKosh_General_SMF1_018</v>
      </c>
      <c r="C30" s="7">
        <f>IFERROR(__xludf.DUMMYFUNCTION("""COMPUTED_VALUE"""),95.0)</f>
        <v>95</v>
      </c>
      <c r="D30" s="7" t="str">
        <f>IFERROR(__xludf.DUMMYFUNCTION("""COMPUTED_VALUE"""),"Web, Mobile")</f>
        <v>Web, Mobile</v>
      </c>
      <c r="E30" s="7" t="str">
        <f>IFERROR(__xludf.DUMMYFUNCTION("""COMPUTED_VALUE"""),"Manage Query Pop up")</f>
        <v>Manage Query Pop up</v>
      </c>
      <c r="F30" s="7" t="str">
        <f>IFERROR(__xludf.DUMMYFUNCTION("""COMPUTED_VALUE"""),"Create")</f>
        <v>Create</v>
      </c>
      <c r="G30" s="7" t="str">
        <f>IFERROR(__xludf.DUMMYFUNCTION("""COMPUTED_VALUE"""),"M")</f>
        <v>M</v>
      </c>
      <c r="H30" s="7" t="str">
        <f>IFERROR(__xludf.DUMMYFUNCTION("""COMPUTED_VALUE"""),"Ankit")</f>
        <v>Ankit</v>
      </c>
      <c r="I30" s="7" t="str">
        <f>IFERROR(__xludf.DUMMYFUNCTION("""COMPUTED_VALUE"""),"Validation")</f>
        <v>Validation</v>
      </c>
      <c r="J30" s="7" t="str">
        <f>IFERROR(__xludf.DUMMYFUNCTION("""COMPUTED_VALUE"""),"")</f>
        <v/>
      </c>
      <c r="K30" s="7" t="str">
        <f>IFERROR(__xludf.DUMMYFUNCTION("""COMPUTED_VALUE"""),"Verify the Max length of the Mysql field.")</f>
        <v>Verify the Max length of the Mysql field.</v>
      </c>
      <c r="L30" s="7" t="str">
        <f>IFERROR(__xludf.DUMMYFUNCTION("""COMPUTED_VALUE"""),"1. Go to manage form list.
2. Click on Modify form in Action.
3. Select question type as Choice type.
4. Select choice source as Query
5. Enter data in Mysql field.
6. Verify the max length of the field.")</f>
        <v>1. Go to manage form list.
2. Click on Modify form in Action.
3. Select question type as Choice type.
4. Select choice source as Query
5. Enter data in Mysql field.
6. Verify the max length of the field.</v>
      </c>
      <c r="M30" s="7" t="str">
        <f>IFERROR(__xludf.DUMMYFUNCTION("""COMPUTED_VALUE"""),"Db length is 1000")</f>
        <v>Db length is 1000</v>
      </c>
      <c r="N30" s="7" t="str">
        <f>IFERROR(__xludf.DUMMYFUNCTION("""COMPUTED_VALUE"""),"")</f>
        <v/>
      </c>
      <c r="O30" s="7" t="str">
        <f>IFERROR(__xludf.DUMMYFUNCTION("""COMPUTED_VALUE"""),"Not showing error when add character more than 1000")</f>
        <v>Not showing error when add character more than 1000</v>
      </c>
      <c r="P30" s="7" t="str">
        <f>IFERROR(__xludf.DUMMYFUNCTION("""COMPUTED_VALUE"""),"Fail")</f>
        <v>Fail</v>
      </c>
      <c r="Q30" s="7" t="str">
        <f>IFERROR(__xludf.DUMMYFUNCTION("""COMPUTED_VALUE"""),"")</f>
        <v/>
      </c>
      <c r="R30" s="8">
        <f>IFERROR(__xludf.DUMMYFUNCTION("""COMPUTED_VALUE"""),43797.0)</f>
        <v>43797</v>
      </c>
      <c r="S30" s="7" t="str">
        <f>IFERROR(__xludf.DUMMYFUNCTION("""COMPUTED_VALUE"""),"")</f>
        <v/>
      </c>
      <c r="T30" s="9" t="s">
        <v>10</v>
      </c>
      <c r="U30" s="7"/>
      <c r="V30" s="9" t="s">
        <v>48</v>
      </c>
      <c r="W30" s="9" t="s">
        <v>66</v>
      </c>
      <c r="X30" s="9" t="s">
        <v>75</v>
      </c>
      <c r="Y30" s="7"/>
      <c r="Z30" s="7"/>
    </row>
    <row r="31">
      <c r="A31" s="7" t="str">
        <f>IFERROR(__xludf.DUMMYFUNCTION("""COMPUTED_VALUE"""),"TCM_dKosh_General_SMF1_018_096")</f>
        <v>TCM_dKosh_General_SMF1_018_096</v>
      </c>
      <c r="B31" s="7" t="str">
        <f>IFERROR(__xludf.DUMMYFUNCTION("""COMPUTED_VALUE"""),"TP_dKosh_General_SMF1_018")</f>
        <v>TP_dKosh_General_SMF1_018</v>
      </c>
      <c r="C31" s="7">
        <f>IFERROR(__xludf.DUMMYFUNCTION("""COMPUTED_VALUE"""),96.0)</f>
        <v>96</v>
      </c>
      <c r="D31" s="7" t="str">
        <f>IFERROR(__xludf.DUMMYFUNCTION("""COMPUTED_VALUE"""),"Web, Mobile")</f>
        <v>Web, Mobile</v>
      </c>
      <c r="E31" s="7" t="str">
        <f>IFERROR(__xludf.DUMMYFUNCTION("""COMPUTED_VALUE"""),"Manage Query Pop up")</f>
        <v>Manage Query Pop up</v>
      </c>
      <c r="F31" s="7" t="str">
        <f>IFERROR(__xludf.DUMMYFUNCTION("""COMPUTED_VALUE"""),"Create")</f>
        <v>Create</v>
      </c>
      <c r="G31" s="7" t="str">
        <f>IFERROR(__xludf.DUMMYFUNCTION("""COMPUTED_VALUE"""),"M")</f>
        <v>M</v>
      </c>
      <c r="H31" s="7" t="str">
        <f>IFERROR(__xludf.DUMMYFUNCTION("""COMPUTED_VALUE"""),"Ankit")</f>
        <v>Ankit</v>
      </c>
      <c r="I31" s="7" t="str">
        <f>IFERROR(__xludf.DUMMYFUNCTION("""COMPUTED_VALUE"""),"Validation")</f>
        <v>Validation</v>
      </c>
      <c r="J31" s="7" t="str">
        <f>IFERROR(__xludf.DUMMYFUNCTION("""COMPUTED_VALUE"""),"")</f>
        <v/>
      </c>
      <c r="K31" s="7" t="str">
        <f>IFERROR(__xludf.DUMMYFUNCTION("""COMPUTED_VALUE"""),"Verify the Mandatory of the Mysql field.")</f>
        <v>Verify the Mandatory of the Mysql field.</v>
      </c>
      <c r="L31" s="7" t="str">
        <f>IFERROR(__xludf.DUMMYFUNCTION("""COMPUTED_VALUE"""),"1. Go to manage form list.
2. Click on Modify form in Action.
3. Select question type as Choice type.
4. Select choice source as Query
5. Enter data in Mysql field.
6. Verify the max length of the field.")</f>
        <v>1. Go to manage form list.
2. Click on Modify form in Action.
3. Select question type as Choice type.
4. Select choice source as Query
5. Enter data in Mysql field.
6. Verify the max length of the field.</v>
      </c>
      <c r="M31" s="7" t="str">
        <f>IFERROR(__xludf.DUMMYFUNCTION("""COMPUTED_VALUE"""),"It should not be mandatory in sheet")</f>
        <v>It should not be mandatory in sheet</v>
      </c>
      <c r="N31" s="7" t="str">
        <f>IFERROR(__xludf.DUMMYFUNCTION("""COMPUTED_VALUE"""),"")</f>
        <v/>
      </c>
      <c r="O31" s="7" t="str">
        <f>IFERROR(__xludf.DUMMYFUNCTION("""COMPUTED_VALUE"""),"Mandatory")</f>
        <v>Mandatory</v>
      </c>
      <c r="P31" s="7" t="str">
        <f>IFERROR(__xludf.DUMMYFUNCTION("""COMPUTED_VALUE"""),"Fail")</f>
        <v>Fail</v>
      </c>
      <c r="Q31" s="7" t="str">
        <f>IFERROR(__xludf.DUMMYFUNCTION("""COMPUTED_VALUE"""),"")</f>
        <v/>
      </c>
      <c r="R31" s="8">
        <f>IFERROR(__xludf.DUMMYFUNCTION("""COMPUTED_VALUE"""),43797.0)</f>
        <v>43797</v>
      </c>
      <c r="S31" s="7" t="str">
        <f>IFERROR(__xludf.DUMMYFUNCTION("""COMPUTED_VALUE"""),"")</f>
        <v/>
      </c>
      <c r="T31" s="9" t="s">
        <v>10</v>
      </c>
      <c r="U31" s="7"/>
      <c r="V31" s="9" t="s">
        <v>48</v>
      </c>
      <c r="W31" s="9" t="s">
        <v>66</v>
      </c>
      <c r="X31" s="9" t="s">
        <v>76</v>
      </c>
      <c r="Y31" s="7"/>
      <c r="Z31" s="7"/>
    </row>
    <row r="32">
      <c r="A32" s="7" t="str">
        <f>IFERROR(__xludf.DUMMYFUNCTION("""COMPUTED_VALUE"""),"TCM_dKosh_General_SMF1_018_099")</f>
        <v>TCM_dKosh_General_SMF1_018_099</v>
      </c>
      <c r="B32" s="7" t="str">
        <f>IFERROR(__xludf.DUMMYFUNCTION("""COMPUTED_VALUE"""),"TP_dKosh_General_SMF1_018")</f>
        <v>TP_dKosh_General_SMF1_018</v>
      </c>
      <c r="C32" s="7">
        <f>IFERROR(__xludf.DUMMYFUNCTION("""COMPUTED_VALUE"""),99.0)</f>
        <v>99</v>
      </c>
      <c r="D32" s="7" t="str">
        <f>IFERROR(__xludf.DUMMYFUNCTION("""COMPUTED_VALUE"""),"Web, Mobile")</f>
        <v>Web, Mobile</v>
      </c>
      <c r="E32" s="7" t="str">
        <f>IFERROR(__xludf.DUMMYFUNCTION("""COMPUTED_VALUE"""),"Manage Query Pop up")</f>
        <v>Manage Query Pop up</v>
      </c>
      <c r="F32" s="7" t="str">
        <f>IFERROR(__xludf.DUMMYFUNCTION("""COMPUTED_VALUE"""),"Create")</f>
        <v>Create</v>
      </c>
      <c r="G32" s="7" t="str">
        <f>IFERROR(__xludf.DUMMYFUNCTION("""COMPUTED_VALUE"""),"M")</f>
        <v>M</v>
      </c>
      <c r="H32" s="7" t="str">
        <f>IFERROR(__xludf.DUMMYFUNCTION("""COMPUTED_VALUE"""),"Ankit")</f>
        <v>Ankit</v>
      </c>
      <c r="I32" s="7" t="str">
        <f>IFERROR(__xludf.DUMMYFUNCTION("""COMPUTED_VALUE"""),"Validation")</f>
        <v>Validation</v>
      </c>
      <c r="J32" s="7" t="str">
        <f>IFERROR(__xludf.DUMMYFUNCTION("""COMPUTED_VALUE"""),"")</f>
        <v/>
      </c>
      <c r="K32" s="7" t="str">
        <f>IFERROR(__xludf.DUMMYFUNCTION("""COMPUTED_VALUE"""),"Verify the Max length of the Sqlite field.")</f>
        <v>Verify the Max length of the Sqlite field.</v>
      </c>
      <c r="L32" s="7" t="str">
        <f>IFERROR(__xludf.DUMMYFUNCTION("""COMPUTED_VALUE"""),"1. Go to manage form list.
2. Click on Modify form in Action.
3. Select question type as Choice type.
4. Select choice source as Query
5. Enter data in Sqlite field.
6. Verify the max length of the field.")</f>
        <v>1. Go to manage form list.
2. Click on Modify form in Action.
3. Select question type as Choice type.
4. Select choice source as Query
5. Enter data in Sqlite field.
6. Verify the max length of the field.</v>
      </c>
      <c r="M32" s="7" t="str">
        <f>IFERROR(__xludf.DUMMYFUNCTION("""COMPUTED_VALUE"""),"Db length is 1000")</f>
        <v>Db length is 1000</v>
      </c>
      <c r="N32" s="7" t="str">
        <f>IFERROR(__xludf.DUMMYFUNCTION("""COMPUTED_VALUE"""),"")</f>
        <v/>
      </c>
      <c r="O32" s="7" t="str">
        <f>IFERROR(__xludf.DUMMYFUNCTION("""COMPUTED_VALUE"""),"Not showing error when add character more than 1000")</f>
        <v>Not showing error when add character more than 1000</v>
      </c>
      <c r="P32" s="7" t="str">
        <f>IFERROR(__xludf.DUMMYFUNCTION("""COMPUTED_VALUE"""),"Fail")</f>
        <v>Fail</v>
      </c>
      <c r="Q32" s="7" t="str">
        <f>IFERROR(__xludf.DUMMYFUNCTION("""COMPUTED_VALUE"""),"")</f>
        <v/>
      </c>
      <c r="R32" s="8">
        <f>IFERROR(__xludf.DUMMYFUNCTION("""COMPUTED_VALUE"""),43797.0)</f>
        <v>43797</v>
      </c>
      <c r="S32" s="7" t="str">
        <f>IFERROR(__xludf.DUMMYFUNCTION("""COMPUTED_VALUE"""),"")</f>
        <v/>
      </c>
      <c r="T32" s="9" t="s">
        <v>10</v>
      </c>
      <c r="U32" s="7"/>
      <c r="V32" s="9" t="s">
        <v>48</v>
      </c>
      <c r="W32" s="9" t="s">
        <v>66</v>
      </c>
      <c r="X32" s="9" t="s">
        <v>75</v>
      </c>
      <c r="Y32" s="7"/>
      <c r="Z32" s="7"/>
    </row>
    <row r="33">
      <c r="A33" s="7" t="str">
        <f>IFERROR(__xludf.DUMMYFUNCTION("""COMPUTED_VALUE"""),"TCM_dKosh_General_SMF1_018_100")</f>
        <v>TCM_dKosh_General_SMF1_018_100</v>
      </c>
      <c r="B33" s="7" t="str">
        <f>IFERROR(__xludf.DUMMYFUNCTION("""COMPUTED_VALUE"""),"TP_dKosh_General_SMF1_018")</f>
        <v>TP_dKosh_General_SMF1_018</v>
      </c>
      <c r="C33" s="7">
        <f>IFERROR(__xludf.DUMMYFUNCTION("""COMPUTED_VALUE"""),100.0)</f>
        <v>100</v>
      </c>
      <c r="D33" s="7" t="str">
        <f>IFERROR(__xludf.DUMMYFUNCTION("""COMPUTED_VALUE"""),"Web, Mobile")</f>
        <v>Web, Mobile</v>
      </c>
      <c r="E33" s="7" t="str">
        <f>IFERROR(__xludf.DUMMYFUNCTION("""COMPUTED_VALUE"""),"Manage Query Pop up")</f>
        <v>Manage Query Pop up</v>
      </c>
      <c r="F33" s="7" t="str">
        <f>IFERROR(__xludf.DUMMYFUNCTION("""COMPUTED_VALUE"""),"Create")</f>
        <v>Create</v>
      </c>
      <c r="G33" s="7" t="str">
        <f>IFERROR(__xludf.DUMMYFUNCTION("""COMPUTED_VALUE"""),"M")</f>
        <v>M</v>
      </c>
      <c r="H33" s="7" t="str">
        <f>IFERROR(__xludf.DUMMYFUNCTION("""COMPUTED_VALUE"""),"Ankit")</f>
        <v>Ankit</v>
      </c>
      <c r="I33" s="7" t="str">
        <f>IFERROR(__xludf.DUMMYFUNCTION("""COMPUTED_VALUE"""),"Validation")</f>
        <v>Validation</v>
      </c>
      <c r="J33" s="7" t="str">
        <f>IFERROR(__xludf.DUMMYFUNCTION("""COMPUTED_VALUE"""),"")</f>
        <v/>
      </c>
      <c r="K33" s="7" t="str">
        <f>IFERROR(__xludf.DUMMYFUNCTION("""COMPUTED_VALUE"""),"Verify the Mandatory of the Sqlite field.")</f>
        <v>Verify the Mandatory of the Sqlite field.</v>
      </c>
      <c r="L33" s="7" t="str">
        <f>IFERROR(__xludf.DUMMYFUNCTION("""COMPUTED_VALUE"""),"1. Go to manage form list.
2. Click on Modify form in Action.
3. Select question type as Choice type.
4. Select choice source as Query
5. Enter data in Sqlite field.
6. Verify the max length of the field.")</f>
        <v>1. Go to manage form list.
2. Click on Modify form in Action.
3. Select question type as Choice type.
4. Select choice source as Query
5. Enter data in Sqlite field.
6. Verify the max length of the field.</v>
      </c>
      <c r="M33" s="7" t="str">
        <f>IFERROR(__xludf.DUMMYFUNCTION("""COMPUTED_VALUE"""),"It should not be mandatory in sheet")</f>
        <v>It should not be mandatory in sheet</v>
      </c>
      <c r="N33" s="7" t="str">
        <f>IFERROR(__xludf.DUMMYFUNCTION("""COMPUTED_VALUE"""),"")</f>
        <v/>
      </c>
      <c r="O33" s="7" t="str">
        <f>IFERROR(__xludf.DUMMYFUNCTION("""COMPUTED_VALUE"""),"Mandatory")</f>
        <v>Mandatory</v>
      </c>
      <c r="P33" s="7" t="str">
        <f>IFERROR(__xludf.DUMMYFUNCTION("""COMPUTED_VALUE"""),"Fail")</f>
        <v>Fail</v>
      </c>
      <c r="Q33" s="7" t="str">
        <f>IFERROR(__xludf.DUMMYFUNCTION("""COMPUTED_VALUE"""),"")</f>
        <v/>
      </c>
      <c r="R33" s="8">
        <f>IFERROR(__xludf.DUMMYFUNCTION("""COMPUTED_VALUE"""),43797.0)</f>
        <v>43797</v>
      </c>
      <c r="S33" s="7" t="str">
        <f>IFERROR(__xludf.DUMMYFUNCTION("""COMPUTED_VALUE"""),"")</f>
        <v/>
      </c>
      <c r="T33" s="9" t="s">
        <v>77</v>
      </c>
      <c r="U33" s="7"/>
      <c r="V33" s="9" t="s">
        <v>11</v>
      </c>
      <c r="W33" s="9" t="s">
        <v>66</v>
      </c>
      <c r="X33" s="9" t="s">
        <v>78</v>
      </c>
      <c r="Y33" s="7"/>
      <c r="Z33" s="7"/>
    </row>
    <row r="34">
      <c r="A34" s="7" t="str">
        <f>IFERROR(__xludf.DUMMYFUNCTION("""COMPUTED_VALUE"""),"TCM_dKosh_General_SMF1_018_101")</f>
        <v>TCM_dKosh_General_SMF1_018_101</v>
      </c>
      <c r="B34" s="7" t="str">
        <f>IFERROR(__xludf.DUMMYFUNCTION("""COMPUTED_VALUE"""),"TP_dKosh_General_SMF1_018")</f>
        <v>TP_dKosh_General_SMF1_018</v>
      </c>
      <c r="C34" s="7">
        <f>IFERROR(__xludf.DUMMYFUNCTION("""COMPUTED_VALUE"""),101.0)</f>
        <v>101</v>
      </c>
      <c r="D34" s="7" t="str">
        <f>IFERROR(__xludf.DUMMYFUNCTION("""COMPUTED_VALUE"""),"Web, Mobile")</f>
        <v>Web, Mobile</v>
      </c>
      <c r="E34" s="7" t="str">
        <f>IFERROR(__xludf.DUMMYFUNCTION("""COMPUTED_VALUE"""),"Manage Query Pop up")</f>
        <v>Manage Query Pop up</v>
      </c>
      <c r="F34" s="7" t="str">
        <f>IFERROR(__xludf.DUMMYFUNCTION("""COMPUTED_VALUE"""),"Create")</f>
        <v>Create</v>
      </c>
      <c r="G34" s="7" t="str">
        <f>IFERROR(__xludf.DUMMYFUNCTION("""COMPUTED_VALUE"""),"M")</f>
        <v>M</v>
      </c>
      <c r="H34" s="7" t="str">
        <f>IFERROR(__xludf.DUMMYFUNCTION("""COMPUTED_VALUE"""),"Ankit")</f>
        <v>Ankit</v>
      </c>
      <c r="I34" s="7" t="str">
        <f>IFERROR(__xludf.DUMMYFUNCTION("""COMPUTED_VALUE"""),"Functional")</f>
        <v>Functional</v>
      </c>
      <c r="J34" s="7" t="str">
        <f>IFERROR(__xludf.DUMMYFUNCTION("""COMPUTED_VALUE"""),"")</f>
        <v/>
      </c>
      <c r="K34" s="7" t="str">
        <f>IFERROR(__xludf.DUMMYFUNCTION("""COMPUTED_VALUE"""),"Verify the relation between Dependent question and user defined sql query")</f>
        <v>Verify the relation between Dependent question and user defined sql query</v>
      </c>
      <c r="L34" s="7" t="str">
        <f>IFERROR(__xludf.DUMMYFUNCTION("""COMPUTED_VALUE"""),"1. Go to manage form list.
2. Click on Modify form in Action.
3. Select question type as Choice type.
4. Select choice source as Query
5. Select depends on checkbox
6. Select Question.
7. Enter data in Sqlite field.
8. Verify the Relation")</f>
        <v>1. Go to manage form list.
2. Click on Modify form in Action.
3. Select question type as Choice type.
4. Select choice source as Query
5. Select depends on checkbox
6. Select Question.
7. Enter data in Sqlite field.
8. Verify the Relation</v>
      </c>
      <c r="M34" s="7" t="str">
        <f>IFERROR(__xludf.DUMMYFUNCTION("""COMPUTED_VALUE"""),"Query will run and show result after selecting dependent choices")</f>
        <v>Query will run and show result after selecting dependent choices</v>
      </c>
      <c r="N34" s="7" t="str">
        <f>IFERROR(__xludf.DUMMYFUNCTION("""COMPUTED_VALUE"""),"Sometimes.")</f>
        <v>Sometimes.</v>
      </c>
      <c r="O34" s="7" t="str">
        <f>IFERROR(__xludf.DUMMYFUNCTION("""COMPUTED_VALUE"""),"Showing error ""Trying to get property 'int_sf_form_id' of non-object"".")</f>
        <v>Showing error "Trying to get property 'int_sf_form_id' of non-object".</v>
      </c>
      <c r="P34" s="7" t="str">
        <f>IFERROR(__xludf.DUMMYFUNCTION("""COMPUTED_VALUE"""),"Fail")</f>
        <v>Fail</v>
      </c>
      <c r="Q34" s="7" t="str">
        <f>IFERROR(__xludf.DUMMYFUNCTION("""COMPUTED_VALUE"""),"")</f>
        <v/>
      </c>
      <c r="R34" s="8">
        <f>IFERROR(__xludf.DUMMYFUNCTION("""COMPUTED_VALUE"""),43797.0)</f>
        <v>43797</v>
      </c>
      <c r="S34" s="7" t="str">
        <f>IFERROR(__xludf.DUMMYFUNCTION("""COMPUTED_VALUE"""),"")</f>
        <v/>
      </c>
      <c r="T34" s="9" t="s">
        <v>8</v>
      </c>
      <c r="U34" s="7"/>
      <c r="V34" s="7"/>
      <c r="W34" s="9" t="s">
        <v>66</v>
      </c>
      <c r="X34" s="7"/>
      <c r="Y34" s="7"/>
      <c r="Z34" s="7"/>
    </row>
    <row r="35">
      <c r="A35" s="7" t="str">
        <f>IFERROR(__xludf.DUMMYFUNCTION("""COMPUTED_VALUE"""),"TCM_dKosh_General_SMF1_018_102")</f>
        <v>TCM_dKosh_General_SMF1_018_102</v>
      </c>
      <c r="B35" s="7" t="str">
        <f>IFERROR(__xludf.DUMMYFUNCTION("""COMPUTED_VALUE"""),"TP_dKosh_General_SMF1_018")</f>
        <v>TP_dKosh_General_SMF1_018</v>
      </c>
      <c r="C35" s="7">
        <f>IFERROR(__xludf.DUMMYFUNCTION("""COMPUTED_VALUE"""),102.0)</f>
        <v>102</v>
      </c>
      <c r="D35" s="7" t="str">
        <f>IFERROR(__xludf.DUMMYFUNCTION("""COMPUTED_VALUE"""),"Web, Mobile")</f>
        <v>Web, Mobile</v>
      </c>
      <c r="E35" s="7" t="str">
        <f>IFERROR(__xludf.DUMMYFUNCTION("""COMPUTED_VALUE"""),"Manage Query Pop up")</f>
        <v>Manage Query Pop up</v>
      </c>
      <c r="F35" s="7" t="str">
        <f>IFERROR(__xludf.DUMMYFUNCTION("""COMPUTED_VALUE"""),"Create")</f>
        <v>Create</v>
      </c>
      <c r="G35" s="7" t="str">
        <f>IFERROR(__xludf.DUMMYFUNCTION("""COMPUTED_VALUE"""),"M")</f>
        <v>M</v>
      </c>
      <c r="H35" s="7" t="str">
        <f>IFERROR(__xludf.DUMMYFUNCTION("""COMPUTED_VALUE"""),"Ankit")</f>
        <v>Ankit</v>
      </c>
      <c r="I35" s="7" t="str">
        <f>IFERROR(__xludf.DUMMYFUNCTION("""COMPUTED_VALUE"""),"Functional")</f>
        <v>Functional</v>
      </c>
      <c r="J35" s="7" t="str">
        <f>IFERROR(__xludf.DUMMYFUNCTION("""COMPUTED_VALUE"""),"")</f>
        <v/>
      </c>
      <c r="K35" s="7" t="str">
        <f>IFERROR(__xludf.DUMMYFUNCTION("""COMPUTED_VALUE"""),"Verify the functionality of View Result")</f>
        <v>Verify the functionality of View Result</v>
      </c>
      <c r="L35" s="7" t="str">
        <f>IFERROR(__xludf.DUMMYFUNCTION("""COMPUTED_VALUE"""),"??")</f>
        <v>??</v>
      </c>
      <c r="M35" s="7" t="str">
        <f>IFERROR(__xludf.DUMMYFUNCTION("""COMPUTED_VALUE"""),"Display: Result of query in pop up.")</f>
        <v>Display: Result of query in pop up.</v>
      </c>
      <c r="N35" s="7" t="str">
        <f>IFERROR(__xludf.DUMMYFUNCTION("""COMPUTED_VALUE"""),"")</f>
        <v/>
      </c>
      <c r="O35" s="7" t="str">
        <f>IFERROR(__xludf.DUMMYFUNCTION("""COMPUTED_VALUE"""),"View result work as a save functionality
")</f>
        <v>View result work as a save functionality
</v>
      </c>
      <c r="P35" s="7" t="str">
        <f>IFERROR(__xludf.DUMMYFUNCTION("""COMPUTED_VALUE"""),"Fail")</f>
        <v>Fail</v>
      </c>
      <c r="Q35" s="7" t="str">
        <f>IFERROR(__xludf.DUMMYFUNCTION("""COMPUTED_VALUE"""),"")</f>
        <v/>
      </c>
      <c r="R35" s="8">
        <f>IFERROR(__xludf.DUMMYFUNCTION("""COMPUTED_VALUE"""),43797.0)</f>
        <v>43797</v>
      </c>
      <c r="S35" s="7" t="str">
        <f>IFERROR(__xludf.DUMMYFUNCTION("""COMPUTED_VALUE"""),"")</f>
        <v/>
      </c>
      <c r="T35" s="9" t="s">
        <v>10</v>
      </c>
      <c r="U35" s="7"/>
      <c r="V35" s="9" t="s">
        <v>11</v>
      </c>
      <c r="W35" s="9" t="s">
        <v>66</v>
      </c>
      <c r="X35" s="7"/>
      <c r="Y35" s="7"/>
      <c r="Z35" s="7"/>
    </row>
    <row r="36">
      <c r="A36" s="7" t="str">
        <f>IFERROR(__xludf.DUMMYFUNCTION("""COMPUTED_VALUE"""),"TCM_dKosh_General_SMF1_018_103")</f>
        <v>TCM_dKosh_General_SMF1_018_103</v>
      </c>
      <c r="B36" s="7" t="str">
        <f>IFERROR(__xludf.DUMMYFUNCTION("""COMPUTED_VALUE"""),"TP_dKosh_General_SMF1_018")</f>
        <v>TP_dKosh_General_SMF1_018</v>
      </c>
      <c r="C36" s="7">
        <f>IFERROR(__xludf.DUMMYFUNCTION("""COMPUTED_VALUE"""),103.0)</f>
        <v>103</v>
      </c>
      <c r="D36" s="7" t="str">
        <f>IFERROR(__xludf.DUMMYFUNCTION("""COMPUTED_VALUE"""),"Web, Mobile")</f>
        <v>Web, Mobile</v>
      </c>
      <c r="E36" s="7" t="str">
        <f>IFERROR(__xludf.DUMMYFUNCTION("""COMPUTED_VALUE"""),"Manage Query Pop up")</f>
        <v>Manage Query Pop up</v>
      </c>
      <c r="F36" s="7" t="str">
        <f>IFERROR(__xludf.DUMMYFUNCTION("""COMPUTED_VALUE"""),"Create")</f>
        <v>Create</v>
      </c>
      <c r="G36" s="7" t="str">
        <f>IFERROR(__xludf.DUMMYFUNCTION("""COMPUTED_VALUE"""),"M")</f>
        <v>M</v>
      </c>
      <c r="H36" s="7" t="str">
        <f>IFERROR(__xludf.DUMMYFUNCTION("""COMPUTED_VALUE"""),"Ankit")</f>
        <v>Ankit</v>
      </c>
      <c r="I36" s="7" t="str">
        <f>IFERROR(__xludf.DUMMYFUNCTION("""COMPUTED_VALUE"""),"Functional")</f>
        <v>Functional</v>
      </c>
      <c r="J36" s="7" t="str">
        <f>IFERROR(__xludf.DUMMYFUNCTION("""COMPUTED_VALUE"""),"")</f>
        <v/>
      </c>
      <c r="K36" s="7" t="str">
        <f>IFERROR(__xludf.DUMMYFUNCTION("""COMPUTED_VALUE"""),"Verify the data is saving after filling the query and click on Ok button.")</f>
        <v>Verify the data is saving after filling the query and click on Ok button.</v>
      </c>
      <c r="L36" s="7" t="str">
        <f>IFERROR(__xludf.DUMMYFUNCTION("""COMPUTED_VALUE"""),"1. Go to manage form list.
2. Click on Modify form in Action.
3. Select question type as Choice type.
4. Select choice source as Query
5. Verify the caption of the button.")</f>
        <v>1. Go to manage form list.
2. Click on Modify form in Action.
3. Select question type as Choice type.
4. Select choice source as Query
5. Verify the caption of the button.</v>
      </c>
      <c r="M36" s="7" t="str">
        <f>IFERROR(__xludf.DUMMYFUNCTION("""COMPUTED_VALUE"""),"Data should be saved.")</f>
        <v>Data should be saved.</v>
      </c>
      <c r="N36" s="7" t="str">
        <f>IFERROR(__xludf.DUMMYFUNCTION("""COMPUTED_VALUE"""),"")</f>
        <v/>
      </c>
      <c r="O36" s="7" t="str">
        <f>IFERROR(__xludf.DUMMYFUNCTION("""COMPUTED_VALUE"""),"Showing exception")</f>
        <v>Showing exception</v>
      </c>
      <c r="P36" s="7" t="str">
        <f>IFERROR(__xludf.DUMMYFUNCTION("""COMPUTED_VALUE"""),"Fail")</f>
        <v>Fail</v>
      </c>
      <c r="Q36" s="7" t="str">
        <f>IFERROR(__xludf.DUMMYFUNCTION("""COMPUTED_VALUE"""),"")</f>
        <v/>
      </c>
      <c r="R36" s="8">
        <f>IFERROR(__xludf.DUMMYFUNCTION("""COMPUTED_VALUE"""),43797.0)</f>
        <v>43797</v>
      </c>
      <c r="S36" s="7" t="str">
        <f>IFERROR(__xludf.DUMMYFUNCTION("""COMPUTED_VALUE"""),"")</f>
        <v/>
      </c>
      <c r="T36" s="9" t="s">
        <v>8</v>
      </c>
      <c r="U36" s="9" t="s">
        <v>8</v>
      </c>
      <c r="V36" s="9" t="s">
        <v>11</v>
      </c>
      <c r="W36" s="9" t="s">
        <v>66</v>
      </c>
      <c r="X36" s="9" t="s">
        <v>79</v>
      </c>
      <c r="Y36" s="7"/>
      <c r="Z36" s="7"/>
    </row>
    <row r="37">
      <c r="A37" s="7" t="str">
        <f>IFERROR(__xludf.DUMMYFUNCTION("""COMPUTED_VALUE"""),"TCM_dKosh_General_SMF1_018_109")</f>
        <v>TCM_dKosh_General_SMF1_018_109</v>
      </c>
      <c r="B37" s="7" t="str">
        <f>IFERROR(__xludf.DUMMYFUNCTION("""COMPUTED_VALUE"""),"TP_dKosh_General_SMF1_018")</f>
        <v>TP_dKosh_General_SMF1_018</v>
      </c>
      <c r="C37" s="7">
        <f>IFERROR(__xludf.DUMMYFUNCTION("""COMPUTED_VALUE"""),109.0)</f>
        <v>109</v>
      </c>
      <c r="D37" s="7" t="str">
        <f>IFERROR(__xludf.DUMMYFUNCTION("""COMPUTED_VALUE"""),"Web, Mobile")</f>
        <v>Web, Mobile</v>
      </c>
      <c r="E37" s="7" t="str">
        <f>IFERROR(__xludf.DUMMYFUNCTION("""COMPUTED_VALUE"""),"Manage Query Pop up")</f>
        <v>Manage Query Pop up</v>
      </c>
      <c r="F37" s="7" t="str">
        <f>IFERROR(__xludf.DUMMYFUNCTION("""COMPUTED_VALUE"""),"Create")</f>
        <v>Create</v>
      </c>
      <c r="G37" s="7" t="str">
        <f>IFERROR(__xludf.DUMMYFUNCTION("""COMPUTED_VALUE"""),"M")</f>
        <v>M</v>
      </c>
      <c r="H37" s="7" t="str">
        <f>IFERROR(__xludf.DUMMYFUNCTION("""COMPUTED_VALUE"""),"Ankit")</f>
        <v>Ankit</v>
      </c>
      <c r="I37" s="7" t="str">
        <f>IFERROR(__xludf.DUMMYFUNCTION("""COMPUTED_VALUE"""),"Functional")</f>
        <v>Functional</v>
      </c>
      <c r="J37" s="7" t="str">
        <f>IFERROR(__xludf.DUMMYFUNCTION("""COMPUTED_VALUE"""),"")</f>
        <v/>
      </c>
      <c r="K37" s="7" t="str">
        <f>IFERROR(__xludf.DUMMYFUNCTION("""COMPUTED_VALUE"""),"Verify the View Result pop up is opening if user click on that.")</f>
        <v>Verify the View Result pop up is opening if user click on that.</v>
      </c>
      <c r="L37" s="7" t="str">
        <f>IFERROR(__xludf.DUMMYFUNCTION("""COMPUTED_VALUE"""),"1. Go to manage form list.
2. Click on Modify form in Action.
3. Select question type as Choice type.
4. Select choice source as Query
5. Click on View Result button")</f>
        <v>1. Go to manage form list.
2. Click on Modify form in Action.
3. Select question type as Choice type.
4. Select choice source as Query
5. Click on View Result button</v>
      </c>
      <c r="M37" s="7" t="str">
        <f>IFERROR(__xludf.DUMMYFUNCTION("""COMPUTED_VALUE"""),"Pop up should be opened.")</f>
        <v>Pop up should be opened.</v>
      </c>
      <c r="N37" s="7" t="str">
        <f>IFERROR(__xludf.DUMMYFUNCTION("""COMPUTED_VALUE"""),"")</f>
        <v/>
      </c>
      <c r="O37" s="7" t="str">
        <f>IFERROR(__xludf.DUMMYFUNCTION("""COMPUTED_VALUE"""),"View result button act as a save button
")</f>
        <v>View result button act as a save button
</v>
      </c>
      <c r="P37" s="7" t="str">
        <f>IFERROR(__xludf.DUMMYFUNCTION("""COMPUTED_VALUE"""),"Fail")</f>
        <v>Fail</v>
      </c>
      <c r="Q37" s="7" t="str">
        <f>IFERROR(__xludf.DUMMYFUNCTION("""COMPUTED_VALUE"""),"")</f>
        <v/>
      </c>
      <c r="R37" s="8">
        <f>IFERROR(__xludf.DUMMYFUNCTION("""COMPUTED_VALUE"""),43797.0)</f>
        <v>43797</v>
      </c>
      <c r="S37" s="7" t="str">
        <f>IFERROR(__xludf.DUMMYFUNCTION("""COMPUTED_VALUE"""),"")</f>
        <v/>
      </c>
      <c r="T37" s="9" t="s">
        <v>10</v>
      </c>
      <c r="U37" s="7"/>
      <c r="V37" s="9" t="s">
        <v>11</v>
      </c>
      <c r="W37" s="9" t="s">
        <v>66</v>
      </c>
      <c r="X37" s="7"/>
      <c r="Y37" s="7"/>
      <c r="Z37" s="7"/>
    </row>
    <row r="38">
      <c r="A38" s="7" t="str">
        <f>IFERROR(__xludf.DUMMYFUNCTION("""COMPUTED_VALUE"""),"TCM_dKosh_General_SMF1_018_120")</f>
        <v>TCM_dKosh_General_SMF1_018_120</v>
      </c>
      <c r="B38" s="7" t="str">
        <f>IFERROR(__xludf.DUMMYFUNCTION("""COMPUTED_VALUE"""),"TP_dKosh_General_SMF1_018")</f>
        <v>TP_dKosh_General_SMF1_018</v>
      </c>
      <c r="C38" s="7">
        <f>IFERROR(__xludf.DUMMYFUNCTION("""COMPUTED_VALUE"""),120.0)</f>
        <v>120</v>
      </c>
      <c r="D38" s="7" t="str">
        <f>IFERROR(__xludf.DUMMYFUNCTION("""COMPUTED_VALUE"""),"Web, Mobile")</f>
        <v>Web, Mobile</v>
      </c>
      <c r="E38" s="7" t="str">
        <f>IFERROR(__xludf.DUMMYFUNCTION("""COMPUTED_VALUE"""),"Year Range Pop up")</f>
        <v>Year Range Pop up</v>
      </c>
      <c r="F38" s="7" t="str">
        <f>IFERROR(__xludf.DUMMYFUNCTION("""COMPUTED_VALUE"""),"Create")</f>
        <v>Create</v>
      </c>
      <c r="G38" s="7" t="str">
        <f>IFERROR(__xludf.DUMMYFUNCTION("""COMPUTED_VALUE"""),"M")</f>
        <v>M</v>
      </c>
      <c r="H38" s="7" t="str">
        <f>IFERROR(__xludf.DUMMYFUNCTION("""COMPUTED_VALUE"""),"Ankit")</f>
        <v>Ankit</v>
      </c>
      <c r="I38" s="7" t="str">
        <f>IFERROR(__xludf.DUMMYFUNCTION("""COMPUTED_VALUE"""),"Validation")</f>
        <v>Validation</v>
      </c>
      <c r="J38" s="7" t="str">
        <f>IFERROR(__xludf.DUMMYFUNCTION("""COMPUTED_VALUE"""),"")</f>
        <v/>
      </c>
      <c r="K38" s="7" t="str">
        <f>IFERROR(__xludf.DUMMYFUNCTION("""COMPUTED_VALUE"""),"Verify Year From field accepts which type of data.
")</f>
        <v>Verify Year From field accepts which type of data.
</v>
      </c>
      <c r="L38" s="7" t="str">
        <f>IFERROR(__xludf.DUMMYFUNCTION("""COMPUTED_VALUE"""),"1. Go to manage form list.
2. Click on Modify form in Action.
3. Select question type as Choice type.
4. Select choice source as Year
5. Verify the data in the form.")</f>
        <v>1. Go to manage form list.
2. Click on Modify form in Action.
3. Select question type as Choice type.
4. Select choice source as Year
5. Verify the data in the form.</v>
      </c>
      <c r="M38" s="7" t="str">
        <f>IFERROR(__xludf.DUMMYFUNCTION("""COMPUTED_VALUE"""),"Only numbers.")</f>
        <v>Only numbers.</v>
      </c>
      <c r="N38" s="7" t="str">
        <f>IFERROR(__xludf.DUMMYFUNCTION("""COMPUTED_VALUE"""),"")</f>
        <v/>
      </c>
      <c r="O38" s="7" t="str">
        <f>IFERROR(__xludf.DUMMYFUNCTION("""COMPUTED_VALUE"""),"It accept character and save without any error message.")</f>
        <v>It accept character and save without any error message.</v>
      </c>
      <c r="P38" s="7" t="str">
        <f>IFERROR(__xludf.DUMMYFUNCTION("""COMPUTED_VALUE"""),"Fail")</f>
        <v>Fail</v>
      </c>
      <c r="Q38" s="7" t="str">
        <f>IFERROR(__xludf.DUMMYFUNCTION("""COMPUTED_VALUE"""),"")</f>
        <v/>
      </c>
      <c r="R38" s="8" t="str">
        <f>IFERROR(__xludf.DUMMYFUNCTION("""COMPUTED_VALUE"""),"")</f>
        <v/>
      </c>
      <c r="S38" s="7" t="str">
        <f>IFERROR(__xludf.DUMMYFUNCTION("""COMPUTED_VALUE"""),"")</f>
        <v/>
      </c>
      <c r="T38" s="9" t="s">
        <v>10</v>
      </c>
      <c r="U38" s="7"/>
      <c r="V38" s="9" t="s">
        <v>11</v>
      </c>
      <c r="W38" s="9" t="s">
        <v>66</v>
      </c>
      <c r="X38" s="7"/>
      <c r="Y38" s="7"/>
      <c r="Z38" s="7"/>
    </row>
    <row r="39">
      <c r="A39" s="7" t="str">
        <f>IFERROR(__xludf.DUMMYFUNCTION("""COMPUTED_VALUE"""),"TCM_dKosh_General_SMF1_018_124")</f>
        <v>TCM_dKosh_General_SMF1_018_124</v>
      </c>
      <c r="B39" s="7" t="str">
        <f>IFERROR(__xludf.DUMMYFUNCTION("""COMPUTED_VALUE"""),"TP_dKosh_General_SMF1_018")</f>
        <v>TP_dKosh_General_SMF1_018</v>
      </c>
      <c r="C39" s="7">
        <f>IFERROR(__xludf.DUMMYFUNCTION("""COMPUTED_VALUE"""),124.0)</f>
        <v>124</v>
      </c>
      <c r="D39" s="7" t="str">
        <f>IFERROR(__xludf.DUMMYFUNCTION("""COMPUTED_VALUE"""),"Web, Mobile")</f>
        <v>Web, Mobile</v>
      </c>
      <c r="E39" s="7" t="str">
        <f>IFERROR(__xludf.DUMMYFUNCTION("""COMPUTED_VALUE"""),"Year Range Pop up")</f>
        <v>Year Range Pop up</v>
      </c>
      <c r="F39" s="7" t="str">
        <f>IFERROR(__xludf.DUMMYFUNCTION("""COMPUTED_VALUE"""),"Create")</f>
        <v>Create</v>
      </c>
      <c r="G39" s="7" t="str">
        <f>IFERROR(__xludf.DUMMYFUNCTION("""COMPUTED_VALUE"""),"M")</f>
        <v>M</v>
      </c>
      <c r="H39" s="7" t="str">
        <f>IFERROR(__xludf.DUMMYFUNCTION("""COMPUTED_VALUE"""),"Ankit")</f>
        <v>Ankit</v>
      </c>
      <c r="I39" s="7" t="str">
        <f>IFERROR(__xludf.DUMMYFUNCTION("""COMPUTED_VALUE"""),"Validation")</f>
        <v>Validation</v>
      </c>
      <c r="J39" s="7" t="str">
        <f>IFERROR(__xludf.DUMMYFUNCTION("""COMPUTED_VALUE"""),"")</f>
        <v/>
      </c>
      <c r="K39" s="7" t="str">
        <f>IFERROR(__xludf.DUMMYFUNCTION("""COMPUTED_VALUE"""),"Verify Year To field accepts which type of data.
")</f>
        <v>Verify Year To field accepts which type of data.
</v>
      </c>
      <c r="L39" s="7" t="str">
        <f>IFERROR(__xludf.DUMMYFUNCTION("""COMPUTED_VALUE"""),"1. Go to manage form list.
2. Click on Modify form in Action.
3. Select question type as Choice type.
4. Select choice source as Year
5. Verify the data in the form.")</f>
        <v>1. Go to manage form list.
2. Click on Modify form in Action.
3. Select question type as Choice type.
4. Select choice source as Year
5. Verify the data in the form.</v>
      </c>
      <c r="M39" s="7" t="str">
        <f>IFERROR(__xludf.DUMMYFUNCTION("""COMPUTED_VALUE"""),"Only numbers.")</f>
        <v>Only numbers.</v>
      </c>
      <c r="N39" s="7" t="str">
        <f>IFERROR(__xludf.DUMMYFUNCTION("""COMPUTED_VALUE"""),"")</f>
        <v/>
      </c>
      <c r="O39" s="7" t="str">
        <f>IFERROR(__xludf.DUMMYFUNCTION("""COMPUTED_VALUE"""),"It accept character and save without any error message.")</f>
        <v>It accept character and save without any error message.</v>
      </c>
      <c r="P39" s="7" t="str">
        <f>IFERROR(__xludf.DUMMYFUNCTION("""COMPUTED_VALUE"""),"Fail")</f>
        <v>Fail</v>
      </c>
      <c r="Q39" s="7" t="str">
        <f>IFERROR(__xludf.DUMMYFUNCTION("""COMPUTED_VALUE"""),"")</f>
        <v/>
      </c>
      <c r="R39" s="8" t="str">
        <f>IFERROR(__xludf.DUMMYFUNCTION("""COMPUTED_VALUE"""),"")</f>
        <v/>
      </c>
      <c r="S39" s="7" t="str">
        <f>IFERROR(__xludf.DUMMYFUNCTION("""COMPUTED_VALUE"""),"")</f>
        <v/>
      </c>
      <c r="T39" s="9" t="s">
        <v>10</v>
      </c>
      <c r="U39" s="7"/>
      <c r="V39" s="9" t="s">
        <v>11</v>
      </c>
      <c r="W39" s="9" t="s">
        <v>66</v>
      </c>
      <c r="X39" s="7"/>
      <c r="Y39" s="7"/>
      <c r="Z39" s="7"/>
    </row>
    <row r="40">
      <c r="A40" s="7" t="str">
        <f>IFERROR(__xludf.DUMMYFUNCTION("""COMPUTED_VALUE"""),"TCM_dKosh_General_SMF1_018_126")</f>
        <v>TCM_dKosh_General_SMF1_018_126</v>
      </c>
      <c r="B40" s="7" t="str">
        <f>IFERROR(__xludf.DUMMYFUNCTION("""COMPUTED_VALUE"""),"TP_dKosh_General_SMF1_018")</f>
        <v>TP_dKosh_General_SMF1_018</v>
      </c>
      <c r="C40" s="7">
        <f>IFERROR(__xludf.DUMMYFUNCTION("""COMPUTED_VALUE"""),126.0)</f>
        <v>126</v>
      </c>
      <c r="D40" s="7" t="str">
        <f>IFERROR(__xludf.DUMMYFUNCTION("""COMPUTED_VALUE"""),"Web, Mobile")</f>
        <v>Web, Mobile</v>
      </c>
      <c r="E40" s="7" t="str">
        <f>IFERROR(__xludf.DUMMYFUNCTION("""COMPUTED_VALUE"""),"Year Range Pop up")</f>
        <v>Year Range Pop up</v>
      </c>
      <c r="F40" s="7" t="str">
        <f>IFERROR(__xludf.DUMMYFUNCTION("""COMPUTED_VALUE"""),"Create")</f>
        <v>Create</v>
      </c>
      <c r="G40" s="7" t="str">
        <f>IFERROR(__xludf.DUMMYFUNCTION("""COMPUTED_VALUE"""),"M")</f>
        <v>M</v>
      </c>
      <c r="H40" s="7" t="str">
        <f>IFERROR(__xludf.DUMMYFUNCTION("""COMPUTED_VALUE"""),"Jaikishan")</f>
        <v>Jaikishan</v>
      </c>
      <c r="I40" s="7" t="str">
        <f>IFERROR(__xludf.DUMMYFUNCTION("""COMPUTED_VALUE"""),"Validation")</f>
        <v>Validation</v>
      </c>
      <c r="J40" s="7" t="str">
        <f>IFERROR(__xludf.DUMMYFUNCTION("""COMPUTED_VALUE"""),"")</f>
        <v/>
      </c>
      <c r="K40" s="7" t="str">
        <f>IFERROR(__xludf.DUMMYFUNCTION("""COMPUTED_VALUE"""),"Verify Year From &amp; To default value.")</f>
        <v>Verify Year From &amp; To default value.</v>
      </c>
      <c r="L40" s="7" t="str">
        <f>IFERROR(__xludf.DUMMYFUNCTION("""COMPUTED_VALUE"""),"1. Go to manage form list.
2. Click on Modify form in Action.
3. Select question type as Choice type.
4. Select choice source as Year
5. Verify the data in the form.")</f>
        <v>1. Go to manage form list.
2. Click on Modify form in Action.
3. Select question type as Choice type.
4. Select choice source as Year
5. Verify the data in the form.</v>
      </c>
      <c r="M40" s="7" t="str">
        <f>IFERROR(__xludf.DUMMYFUNCTION("""COMPUTED_VALUE"""),"Year From : 0
Year to : null")</f>
        <v>Year From : 0
Year to : null</v>
      </c>
      <c r="N40" s="7" t="str">
        <f>IFERROR(__xludf.DUMMYFUNCTION("""COMPUTED_VALUE"""),"")</f>
        <v/>
      </c>
      <c r="O40" s="7" t="str">
        <f>IFERROR(__xludf.DUMMYFUNCTION("""COMPUTED_VALUE"""),"Year From : 0
Year to : 0")</f>
        <v>Year From : 0
Year to : 0</v>
      </c>
      <c r="P40" s="7" t="str">
        <f>IFERROR(__xludf.DUMMYFUNCTION("""COMPUTED_VALUE"""),"Fail")</f>
        <v>Fail</v>
      </c>
      <c r="Q40" s="7" t="str">
        <f>IFERROR(__xludf.DUMMYFUNCTION("""COMPUTED_VALUE"""),"
")</f>
        <v>
</v>
      </c>
      <c r="R40" s="8" t="str">
        <f>IFERROR(__xludf.DUMMYFUNCTION("""COMPUTED_VALUE"""),"")</f>
        <v/>
      </c>
      <c r="S40" s="7" t="str">
        <f>IFERROR(__xludf.DUMMYFUNCTION("""COMPUTED_VALUE"""),"")</f>
        <v/>
      </c>
      <c r="T40" s="9" t="s">
        <v>10</v>
      </c>
      <c r="U40" s="7"/>
      <c r="V40" s="9" t="s">
        <v>11</v>
      </c>
      <c r="W40" s="9" t="s">
        <v>66</v>
      </c>
      <c r="X40" s="7"/>
      <c r="Y40" s="7"/>
      <c r="Z40" s="7"/>
    </row>
    <row r="41">
      <c r="A41" s="7" t="str">
        <f>IFERROR(__xludf.DUMMYFUNCTION("""COMPUTED_VALUE"""),"TCM_dKosh_General_SMF1_018_128")</f>
        <v>TCM_dKosh_General_SMF1_018_128</v>
      </c>
      <c r="B41" s="7" t="str">
        <f>IFERROR(__xludf.DUMMYFUNCTION("""COMPUTED_VALUE"""),"TP_dKosh_General_SMF1_018")</f>
        <v>TP_dKosh_General_SMF1_018</v>
      </c>
      <c r="C41" s="7">
        <f>IFERROR(__xludf.DUMMYFUNCTION("""COMPUTED_VALUE"""),128.0)</f>
        <v>128</v>
      </c>
      <c r="D41" s="7" t="str">
        <f>IFERROR(__xludf.DUMMYFUNCTION("""COMPUTED_VALUE"""),"Web, Mobile")</f>
        <v>Web, Mobile</v>
      </c>
      <c r="E41" s="7" t="str">
        <f>IFERROR(__xludf.DUMMYFUNCTION("""COMPUTED_VALUE"""),"Year Range Pop up")</f>
        <v>Year Range Pop up</v>
      </c>
      <c r="F41" s="7" t="str">
        <f>IFERROR(__xludf.DUMMYFUNCTION("""COMPUTED_VALUE"""),"Create")</f>
        <v>Create</v>
      </c>
      <c r="G41" s="7" t="str">
        <f>IFERROR(__xludf.DUMMYFUNCTION("""COMPUTED_VALUE"""),"M")</f>
        <v>M</v>
      </c>
      <c r="H41" s="7" t="str">
        <f>IFERROR(__xludf.DUMMYFUNCTION("""COMPUTED_VALUE"""),"Ankit")</f>
        <v>Ankit</v>
      </c>
      <c r="I41" s="7" t="str">
        <f>IFERROR(__xludf.DUMMYFUNCTION("""COMPUTED_VALUE"""),"Validation")</f>
        <v>Validation</v>
      </c>
      <c r="J41" s="7" t="str">
        <f>IFERROR(__xludf.DUMMYFUNCTION("""COMPUTED_VALUE"""),"")</f>
        <v/>
      </c>
      <c r="K41" s="7" t="str">
        <f>IFERROR(__xludf.DUMMYFUNCTION("""COMPUTED_VALUE"""),"Verify the Range validation between Year From and Year To field
")</f>
        <v>Verify the Range validation between Year From and Year To field
</v>
      </c>
      <c r="L41" s="7" t="str">
        <f>IFERROR(__xludf.DUMMYFUNCTION("""COMPUTED_VALUE"""),"1. Go to manage form list.
2. Click on Modify form in Action.
3. Select question type as Choice type.
4. Select choice source as Year
5. Verify the data in the form.")</f>
        <v>1. Go to manage form list.
2. Click on Modify form in Action.
3. Select question type as Choice type.
4. Select choice source as Year
5. Verify the data in the form.</v>
      </c>
      <c r="M41" s="7" t="str">
        <f>IFERROR(__xludf.DUMMYFUNCTION("""COMPUTED_VALUE"""),"Year From field should not accept the data from Year To field")</f>
        <v>Year From field should not accept the data from Year To field</v>
      </c>
      <c r="N41" s="7" t="str">
        <f>IFERROR(__xludf.DUMMYFUNCTION("""COMPUTED_VALUE"""),"")</f>
        <v/>
      </c>
      <c r="O41" s="7" t="str">
        <f>IFERROR(__xludf.DUMMYFUNCTION("""COMPUTED_VALUE"""),"Year From field accept value less than Year To
")</f>
        <v>Year From field accept value less than Year To
</v>
      </c>
      <c r="P41" s="7" t="str">
        <f>IFERROR(__xludf.DUMMYFUNCTION("""COMPUTED_VALUE"""),"Fail")</f>
        <v>Fail</v>
      </c>
      <c r="Q41" s="7" t="str">
        <f>IFERROR(__xludf.DUMMYFUNCTION("""COMPUTED_VALUE"""),"")</f>
        <v/>
      </c>
      <c r="R41" s="8" t="str">
        <f>IFERROR(__xludf.DUMMYFUNCTION("""COMPUTED_VALUE"""),"")</f>
        <v/>
      </c>
      <c r="S41" s="7" t="str">
        <f>IFERROR(__xludf.DUMMYFUNCTION("""COMPUTED_VALUE"""),"")</f>
        <v/>
      </c>
      <c r="T41" s="9" t="s">
        <v>10</v>
      </c>
      <c r="U41" s="7"/>
      <c r="V41" s="9" t="s">
        <v>11</v>
      </c>
      <c r="W41" s="9" t="s">
        <v>66</v>
      </c>
      <c r="X41" s="7"/>
      <c r="Y41" s="7"/>
      <c r="Z41" s="7"/>
    </row>
    <row r="42">
      <c r="A42" s="7" t="str">
        <f>IFERROR(__xludf.DUMMYFUNCTION("""COMPUTED_VALUE"""),"TCM_dKosh_General_SMF1_018_130")</f>
        <v>TCM_dKosh_General_SMF1_018_130</v>
      </c>
      <c r="B42" s="7" t="str">
        <f>IFERROR(__xludf.DUMMYFUNCTION("""COMPUTED_VALUE"""),"TP_dKosh_General_SMF1_018")</f>
        <v>TP_dKosh_General_SMF1_018</v>
      </c>
      <c r="C42" s="7">
        <f>IFERROR(__xludf.DUMMYFUNCTION("""COMPUTED_VALUE"""),130.0)</f>
        <v>130</v>
      </c>
      <c r="D42" s="7" t="str">
        <f>IFERROR(__xludf.DUMMYFUNCTION("""COMPUTED_VALUE"""),"Web, Mobile")</f>
        <v>Web, Mobile</v>
      </c>
      <c r="E42" s="7" t="str">
        <f>IFERROR(__xludf.DUMMYFUNCTION("""COMPUTED_VALUE"""),"Year Range Pop up")</f>
        <v>Year Range Pop up</v>
      </c>
      <c r="F42" s="7" t="str">
        <f>IFERROR(__xludf.DUMMYFUNCTION("""COMPUTED_VALUE"""),"Create")</f>
        <v>Create</v>
      </c>
      <c r="G42" s="7" t="str">
        <f>IFERROR(__xludf.DUMMYFUNCTION("""COMPUTED_VALUE"""),"M")</f>
        <v>M</v>
      </c>
      <c r="H42" s="7" t="str">
        <f>IFERROR(__xludf.DUMMYFUNCTION("""COMPUTED_VALUE"""),"Jaikishan")</f>
        <v>Jaikishan</v>
      </c>
      <c r="I42" s="7" t="str">
        <f>IFERROR(__xludf.DUMMYFUNCTION("""COMPUTED_VALUE"""),"Functional")</f>
        <v>Functional</v>
      </c>
      <c r="J42" s="7" t="str">
        <f>IFERROR(__xludf.DUMMYFUNCTION("""COMPUTED_VALUE"""),"")</f>
        <v/>
      </c>
      <c r="K42" s="7" t="str">
        <f>IFERROR(__xludf.DUMMYFUNCTION("""COMPUTED_VALUE"""),"Verify, Acknowledge message after click on ""Ok"" button")</f>
        <v>Verify, Acknowledge message after click on "Ok" button</v>
      </c>
      <c r="L42" s="7" t="str">
        <f>IFERROR(__xludf.DUMMYFUNCTION("""COMPUTED_VALUE"""),"1. Go to manage form list.
2. Click on Modify form in Action.
3. Select question type as Choice type.
4. Select choice source as Year
5. Fill the form.
6. Click on ok")</f>
        <v>1. Go to manage form list.
2. Click on Modify form in Action.
3. Select question type as Choice type.
4. Select choice source as Year
5. Fill the form.
6. Click on ok</v>
      </c>
      <c r="M42" s="7" t="str">
        <f>IFERROR(__xludf.DUMMYFUNCTION("""COMPUTED_VALUE"""),"Message ""Saved successfully""")</f>
        <v>Message "Saved successfully"</v>
      </c>
      <c r="N42" s="7" t="str">
        <f>IFERROR(__xludf.DUMMYFUNCTION("""COMPUTED_VALUE"""),"Not a big issue")</f>
        <v>Not a big issue</v>
      </c>
      <c r="O42" s="7" t="str">
        <f>IFERROR(__xludf.DUMMYFUNCTION("""COMPUTED_VALUE"""),"Message ""Years has been saved successfully.""
")</f>
        <v>Message "Years has been saved successfully."
</v>
      </c>
      <c r="P42" s="7" t="str">
        <f>IFERROR(__xludf.DUMMYFUNCTION("""COMPUTED_VALUE"""),"Fail")</f>
        <v>Fail</v>
      </c>
      <c r="Q42" s="7" t="str">
        <f>IFERROR(__xludf.DUMMYFUNCTION("""COMPUTED_VALUE"""),"")</f>
        <v/>
      </c>
      <c r="R42" s="8" t="str">
        <f>IFERROR(__xludf.DUMMYFUNCTION("""COMPUTED_VALUE"""),"")</f>
        <v/>
      </c>
      <c r="S42" s="7" t="str">
        <f>IFERROR(__xludf.DUMMYFUNCTION("""COMPUTED_VALUE"""),"")</f>
        <v/>
      </c>
      <c r="T42" s="9" t="s">
        <v>67</v>
      </c>
      <c r="U42" s="7"/>
      <c r="V42" s="9" t="s">
        <v>48</v>
      </c>
      <c r="W42" s="9" t="s">
        <v>66</v>
      </c>
      <c r="X42" s="7"/>
      <c r="Y42" s="7"/>
      <c r="Z42" s="7"/>
    </row>
    <row r="43">
      <c r="A43" s="7" t="str">
        <f>IFERROR(__xludf.DUMMYFUNCTION("""COMPUTED_VALUE"""),"TCM_dKosh_General_SMF1_018_135")</f>
        <v>TCM_dKosh_General_SMF1_018_135</v>
      </c>
      <c r="B43" s="7" t="str">
        <f>IFERROR(__xludf.DUMMYFUNCTION("""COMPUTED_VALUE"""),"TP_dKosh_General_SMF1_018")</f>
        <v>TP_dKosh_General_SMF1_018</v>
      </c>
      <c r="C43" s="7">
        <f>IFERROR(__xludf.DUMMYFUNCTION("""COMPUTED_VALUE"""),135.0)</f>
        <v>135</v>
      </c>
      <c r="D43" s="7" t="str">
        <f>IFERROR(__xludf.DUMMYFUNCTION("""COMPUTED_VALUE"""),"Web, Mobile")</f>
        <v>Web, Mobile</v>
      </c>
      <c r="E43" s="7" t="str">
        <f>IFERROR(__xludf.DUMMYFUNCTION("""COMPUTED_VALUE"""),"Applicable Validations")</f>
        <v>Applicable Validations</v>
      </c>
      <c r="F43" s="7" t="str">
        <f>IFERROR(__xludf.DUMMYFUNCTION("""COMPUTED_VALUE"""),"Create")</f>
        <v>Create</v>
      </c>
      <c r="G43" s="7" t="str">
        <f>IFERROR(__xludf.DUMMYFUNCTION("""COMPUTED_VALUE"""),"M")</f>
        <v>M</v>
      </c>
      <c r="H43" s="7" t="str">
        <f>IFERROR(__xludf.DUMMYFUNCTION("""COMPUTED_VALUE"""),"Ankit")</f>
        <v>Ankit</v>
      </c>
      <c r="I43" s="7" t="str">
        <f>IFERROR(__xludf.DUMMYFUNCTION("""COMPUTED_VALUE"""),"Functional")</f>
        <v>Functional</v>
      </c>
      <c r="J43" s="7" t="str">
        <f>IFERROR(__xludf.DUMMYFUNCTION("""COMPUTED_VALUE"""),"")</f>
        <v/>
      </c>
      <c r="K43" s="7" t="str">
        <f>IFERROR(__xludf.DUMMYFUNCTION("""COMPUTED_VALUE"""),"Verify the Applicable Validation pop up form is opening if user click on link.")</f>
        <v>Verify the Applicable Validation pop up form is opening if user click on link.</v>
      </c>
      <c r="L43" s="7" t="str">
        <f>IFERROR(__xludf.DUMMYFUNCTION("""COMPUTED_VALUE"""),"1. Go to manage form list.
2. Click on Modify form in Action.
3. Select any question.
4. Click on link.
")</f>
        <v>1. Go to manage form list.
2. Click on Modify form in Action.
3. Select any question.
4. Click on link.
</v>
      </c>
      <c r="M43" s="7" t="str">
        <f>IFERROR(__xludf.DUMMYFUNCTION("""COMPUTED_VALUE"""),"User Applicable Validations Pop up form should be opened")</f>
        <v>User Applicable Validations Pop up form should be opened</v>
      </c>
      <c r="N43" s="7" t="str">
        <f>IFERROR(__xludf.DUMMYFUNCTION("""COMPUTED_VALUE"""),"Not a big issue")</f>
        <v>Not a big issue</v>
      </c>
      <c r="O43" s="7" t="str">
        <f>IFERROR(__xludf.DUMMYFUNCTION("""COMPUTED_VALUE"""),"User Applicable Validations Pop up form opened but form size at backgroud")</f>
        <v>User Applicable Validations Pop up form opened but form size at backgroud</v>
      </c>
      <c r="P43" s="7" t="str">
        <f>IFERROR(__xludf.DUMMYFUNCTION("""COMPUTED_VALUE"""),"Fail")</f>
        <v>Fail</v>
      </c>
      <c r="Q43" s="7" t="str">
        <f>IFERROR(__xludf.DUMMYFUNCTION("""COMPUTED_VALUE"""),"")</f>
        <v/>
      </c>
      <c r="R43" s="8" t="str">
        <f>IFERROR(__xludf.DUMMYFUNCTION("""COMPUTED_VALUE"""),"")</f>
        <v/>
      </c>
      <c r="S43" s="7" t="str">
        <f>IFERROR(__xludf.DUMMYFUNCTION("""COMPUTED_VALUE"""),"")</f>
        <v/>
      </c>
      <c r="T43" s="9" t="s">
        <v>10</v>
      </c>
      <c r="U43" s="7"/>
      <c r="V43" s="9" t="s">
        <v>11</v>
      </c>
      <c r="W43" s="9" t="s">
        <v>66</v>
      </c>
      <c r="X43" s="7"/>
      <c r="Y43" s="7"/>
      <c r="Z43" s="7"/>
    </row>
    <row r="44">
      <c r="A44" s="7" t="str">
        <f>IFERROR(__xludf.DUMMYFUNCTION("""COMPUTED_VALUE"""),"TCM_dKosh_General_SMF1_018_141")</f>
        <v>TCM_dKosh_General_SMF1_018_141</v>
      </c>
      <c r="B44" s="7" t="str">
        <f>IFERROR(__xludf.DUMMYFUNCTION("""COMPUTED_VALUE"""),"TP_dKosh_General_SMF1_018")</f>
        <v>TP_dKosh_General_SMF1_018</v>
      </c>
      <c r="C44" s="7">
        <f>IFERROR(__xludf.DUMMYFUNCTION("""COMPUTED_VALUE"""),141.0)</f>
        <v>141</v>
      </c>
      <c r="D44" s="7" t="str">
        <f>IFERROR(__xludf.DUMMYFUNCTION("""COMPUTED_VALUE"""),"Web, Mobile")</f>
        <v>Web, Mobile</v>
      </c>
      <c r="E44" s="7" t="str">
        <f>IFERROR(__xludf.DUMMYFUNCTION("""COMPUTED_VALUE"""),"Applicable Validations")</f>
        <v>Applicable Validations</v>
      </c>
      <c r="F44" s="7" t="str">
        <f>IFERROR(__xludf.DUMMYFUNCTION("""COMPUTED_VALUE"""),"Create")</f>
        <v>Create</v>
      </c>
      <c r="G44" s="7" t="str">
        <f>IFERROR(__xludf.DUMMYFUNCTION("""COMPUTED_VALUE"""),"M")</f>
        <v>M</v>
      </c>
      <c r="H44" s="7" t="str">
        <f>IFERROR(__xludf.DUMMYFUNCTION("""COMPUTED_VALUE"""),"Ankit")</f>
        <v>Ankit</v>
      </c>
      <c r="I44" s="7" t="str">
        <f>IFERROR(__xludf.DUMMYFUNCTION("""COMPUTED_VALUE"""),"UI")</f>
        <v>UI</v>
      </c>
      <c r="J44" s="7" t="str">
        <f>IFERROR(__xludf.DUMMYFUNCTION("""COMPUTED_VALUE"""),"")</f>
        <v/>
      </c>
      <c r="K44" s="7" t="str">
        <f>IFERROR(__xludf.DUMMYFUNCTION("""COMPUTED_VALUE"""),"Verify which fields are display when question type is File")</f>
        <v>Verify which fields are display when question type is File</v>
      </c>
      <c r="L44" s="7" t="str">
        <f>IFERROR(__xludf.DUMMYFUNCTION("""COMPUTED_VALUE"""),"1. Go to manage form list.
2. Click on Modify form in Action.
3. Select any question.
4. Click on link.
5. Verify the fields in the form.")</f>
        <v>1. Go to manage form list.
2. Click on Modify form in Action.
3. Select any question.
4. Click on link.
5. Verify the fields in the form.</v>
      </c>
      <c r="M44" s="7" t="str">
        <f>IFERROR(__xludf.DUMMYFUNCTION("""COMPUTED_VALUE"""),"Below fields should be displayed-
File Source, File Type, Allowed Extensions.")</f>
        <v>Below fields should be displayed-
File Source, File Type, Allowed Extensions.</v>
      </c>
      <c r="N44" s="7" t="str">
        <f>IFERROR(__xludf.DUMMYFUNCTION("""COMPUTED_VALUE"""),"")</f>
        <v/>
      </c>
      <c r="O44" s="7" t="str">
        <f>IFERROR(__xludf.DUMMYFUNCTION("""COMPUTED_VALUE"""),"3 more field also displaying :
Minimum length, maximum length, Error message.")</f>
        <v>3 more field also displaying :
Minimum length, maximum length, Error message.</v>
      </c>
      <c r="P44" s="7" t="str">
        <f>IFERROR(__xludf.DUMMYFUNCTION("""COMPUTED_VALUE"""),"Fail")</f>
        <v>Fail</v>
      </c>
      <c r="Q44" s="7" t="str">
        <f>IFERROR(__xludf.DUMMYFUNCTION("""COMPUTED_VALUE"""),"")</f>
        <v/>
      </c>
      <c r="R44" s="8" t="str">
        <f>IFERROR(__xludf.DUMMYFUNCTION("""COMPUTED_VALUE"""),"")</f>
        <v/>
      </c>
      <c r="S44" s="7" t="str">
        <f>IFERROR(__xludf.DUMMYFUNCTION("""COMPUTED_VALUE"""),"")</f>
        <v/>
      </c>
      <c r="T44" s="9" t="s">
        <v>10</v>
      </c>
      <c r="U44" s="7"/>
      <c r="V44" s="9" t="s">
        <v>11</v>
      </c>
      <c r="W44" s="9" t="s">
        <v>66</v>
      </c>
      <c r="X44" s="7"/>
      <c r="Y44" s="7"/>
      <c r="Z44" s="7"/>
    </row>
    <row r="45">
      <c r="A45" s="7" t="str">
        <f>IFERROR(__xludf.DUMMYFUNCTION("""COMPUTED_VALUE"""),"TCM_dKosh_General_SMF1_018_151")</f>
        <v>TCM_dKosh_General_SMF1_018_151</v>
      </c>
      <c r="B45" s="7" t="str">
        <f>IFERROR(__xludf.DUMMYFUNCTION("""COMPUTED_VALUE"""),"TP_dKosh_General_SMF1_018")</f>
        <v>TP_dKosh_General_SMF1_018</v>
      </c>
      <c r="C45" s="7">
        <f>IFERROR(__xludf.DUMMYFUNCTION("""COMPUTED_VALUE"""),151.0)</f>
        <v>151</v>
      </c>
      <c r="D45" s="7" t="str">
        <f>IFERROR(__xludf.DUMMYFUNCTION("""COMPUTED_VALUE"""),"Web, Mobile")</f>
        <v>Web, Mobile</v>
      </c>
      <c r="E45" s="7" t="str">
        <f>IFERROR(__xludf.DUMMYFUNCTION("""COMPUTED_VALUE"""),"Applicable Validations")</f>
        <v>Applicable Validations</v>
      </c>
      <c r="F45" s="7" t="str">
        <f>IFERROR(__xludf.DUMMYFUNCTION("""COMPUTED_VALUE"""),"Create")</f>
        <v>Create</v>
      </c>
      <c r="G45" s="7" t="str">
        <f>IFERROR(__xludf.DUMMYFUNCTION("""COMPUTED_VALUE"""),"M")</f>
        <v>M</v>
      </c>
      <c r="H45" s="7" t="str">
        <f>IFERROR(__xludf.DUMMYFUNCTION("""COMPUTED_VALUE"""),"Ankit")</f>
        <v>Ankit</v>
      </c>
      <c r="I45" s="7" t="str">
        <f>IFERROR(__xludf.DUMMYFUNCTION("""COMPUTED_VALUE"""),"UI")</f>
        <v>UI</v>
      </c>
      <c r="J45" s="7" t="str">
        <f>IFERROR(__xludf.DUMMYFUNCTION("""COMPUTED_VALUE"""),"")</f>
        <v/>
      </c>
      <c r="K45" s="7" t="str">
        <f>IFERROR(__xludf.DUMMYFUNCTION("""COMPUTED_VALUE"""),"Verify the Caption, Placeholder of the File Source field.")</f>
        <v>Verify the Caption, Placeholder of the File Source field.</v>
      </c>
      <c r="L45" s="7" t="str">
        <f>IFERROR(__xludf.DUMMYFUNCTION("""COMPUTED_VALUE"""),"1. Go to manage form list.
2. Click on Modify form in Action.
3. Select any question.
4. Click on link.
5. Verify the caption and field")</f>
        <v>1. Go to manage form list.
2. Click on Modify form in Action.
3. Select any question.
4. Click on link.
5. Verify the caption and field</v>
      </c>
      <c r="M45" s="7" t="str">
        <f>IFERROR(__xludf.DUMMYFUNCTION("""COMPUTED_VALUE"""),"Caption: File Source
Control Type: Dropdown")</f>
        <v>Caption: File Source
Control Type: Dropdown</v>
      </c>
      <c r="N45" s="7" t="str">
        <f>IFERROR(__xludf.DUMMYFUNCTION("""COMPUTED_VALUE"""),"")</f>
        <v/>
      </c>
      <c r="O45" s="7" t="str">
        <f>IFERROR(__xludf.DUMMYFUNCTION("""COMPUTED_VALUE"""),"Caption is different (s is small in Source)")</f>
        <v>Caption is different (s is small in Source)</v>
      </c>
      <c r="P45" s="7" t="str">
        <f>IFERROR(__xludf.DUMMYFUNCTION("""COMPUTED_VALUE"""),"Fail")</f>
        <v>Fail</v>
      </c>
      <c r="Q45" s="7" t="str">
        <f>IFERROR(__xludf.DUMMYFUNCTION("""COMPUTED_VALUE"""),"")</f>
        <v/>
      </c>
      <c r="R45" s="8" t="str">
        <f>IFERROR(__xludf.DUMMYFUNCTION("""COMPUTED_VALUE"""),"")</f>
        <v/>
      </c>
      <c r="S45" s="7" t="str">
        <f>IFERROR(__xludf.DUMMYFUNCTION("""COMPUTED_VALUE"""),"")</f>
        <v/>
      </c>
      <c r="T45" s="9" t="s">
        <v>10</v>
      </c>
      <c r="U45" s="7"/>
      <c r="V45" s="9" t="s">
        <v>11</v>
      </c>
      <c r="W45" s="9" t="s">
        <v>66</v>
      </c>
      <c r="X45" s="7"/>
      <c r="Y45" s="7"/>
      <c r="Z45" s="7"/>
    </row>
    <row r="46">
      <c r="A46" s="7" t="str">
        <f>IFERROR(__xludf.DUMMYFUNCTION("""COMPUTED_VALUE"""),"TCM_dKosh_General_SMF1_018_153")</f>
        <v>TCM_dKosh_General_SMF1_018_153</v>
      </c>
      <c r="B46" s="7" t="str">
        <f>IFERROR(__xludf.DUMMYFUNCTION("""COMPUTED_VALUE"""),"TP_dKosh_General_SMF1_018")</f>
        <v>TP_dKosh_General_SMF1_018</v>
      </c>
      <c r="C46" s="7">
        <f>IFERROR(__xludf.DUMMYFUNCTION("""COMPUTED_VALUE"""),153.0)</f>
        <v>153</v>
      </c>
      <c r="D46" s="7" t="str">
        <f>IFERROR(__xludf.DUMMYFUNCTION("""COMPUTED_VALUE"""),"Web, Mobile")</f>
        <v>Web, Mobile</v>
      </c>
      <c r="E46" s="7" t="str">
        <f>IFERROR(__xludf.DUMMYFUNCTION("""COMPUTED_VALUE"""),"Applicable Validations")</f>
        <v>Applicable Validations</v>
      </c>
      <c r="F46" s="7" t="str">
        <f>IFERROR(__xludf.DUMMYFUNCTION("""COMPUTED_VALUE"""),"Create")</f>
        <v>Create</v>
      </c>
      <c r="G46" s="7" t="str">
        <f>IFERROR(__xludf.DUMMYFUNCTION("""COMPUTED_VALUE"""),"M")</f>
        <v>M</v>
      </c>
      <c r="H46" s="7" t="str">
        <f>IFERROR(__xludf.DUMMYFUNCTION("""COMPUTED_VALUE"""),"Ankit")</f>
        <v>Ankit</v>
      </c>
      <c r="I46" s="7" t="str">
        <f>IFERROR(__xludf.DUMMYFUNCTION("""COMPUTED_VALUE"""),"UI")</f>
        <v>UI</v>
      </c>
      <c r="J46" s="7" t="str">
        <f>IFERROR(__xludf.DUMMYFUNCTION("""COMPUTED_VALUE"""),"")</f>
        <v/>
      </c>
      <c r="K46" s="7" t="str">
        <f>IFERROR(__xludf.DUMMYFUNCTION("""COMPUTED_VALUE"""),"Verify the Caption, Placeholder of the File Type field.")</f>
        <v>Verify the Caption, Placeholder of the File Type field.</v>
      </c>
      <c r="L46" s="7" t="str">
        <f>IFERROR(__xludf.DUMMYFUNCTION("""COMPUTED_VALUE"""),"1. Go to manage form list.
2. Click on Modify form in Action.
3. Select any question.
4. Click on link.
5. Verify the caption and field")</f>
        <v>1. Go to manage form list.
2. Click on Modify form in Action.
3. Select any question.
4. Click on link.
5. Verify the caption and field</v>
      </c>
      <c r="M46" s="7" t="str">
        <f>IFERROR(__xludf.DUMMYFUNCTION("""COMPUTED_VALUE"""),"Caption: File Type
Control Type: Dropdown")</f>
        <v>Caption: File Type
Control Type: Dropdown</v>
      </c>
      <c r="N46" s="7" t="str">
        <f>IFERROR(__xludf.DUMMYFUNCTION("""COMPUTED_VALUE"""),"")</f>
        <v/>
      </c>
      <c r="O46" s="7" t="str">
        <f>IFERROR(__xludf.DUMMYFUNCTION("""COMPUTED_VALUE"""),"Caption is different (t is small in Type)")</f>
        <v>Caption is different (t is small in Type)</v>
      </c>
      <c r="P46" s="7" t="str">
        <f>IFERROR(__xludf.DUMMYFUNCTION("""COMPUTED_VALUE"""),"Fail")</f>
        <v>Fail</v>
      </c>
      <c r="Q46" s="7" t="str">
        <f>IFERROR(__xludf.DUMMYFUNCTION("""COMPUTED_VALUE"""),"")</f>
        <v/>
      </c>
      <c r="R46" s="8">
        <f>IFERROR(__xludf.DUMMYFUNCTION("""COMPUTED_VALUE"""),43797.0)</f>
        <v>43797</v>
      </c>
      <c r="S46" s="7" t="str">
        <f>IFERROR(__xludf.DUMMYFUNCTION("""COMPUTED_VALUE"""),"")</f>
        <v/>
      </c>
      <c r="T46" s="9" t="s">
        <v>10</v>
      </c>
      <c r="U46" s="7"/>
      <c r="V46" s="9" t="s">
        <v>11</v>
      </c>
      <c r="W46" s="9" t="s">
        <v>66</v>
      </c>
      <c r="X46" s="7"/>
      <c r="Y46" s="7"/>
      <c r="Z46" s="7"/>
    </row>
    <row r="47">
      <c r="A47" s="7" t="str">
        <f>IFERROR(__xludf.DUMMYFUNCTION("""COMPUTED_VALUE"""),"TCM_dKosh_General_SMF1_018_155")</f>
        <v>TCM_dKosh_General_SMF1_018_155</v>
      </c>
      <c r="B47" s="7" t="str">
        <f>IFERROR(__xludf.DUMMYFUNCTION("""COMPUTED_VALUE"""),"TP_dKosh_General_SMF1_018")</f>
        <v>TP_dKosh_General_SMF1_018</v>
      </c>
      <c r="C47" s="7">
        <f>IFERROR(__xludf.DUMMYFUNCTION("""COMPUTED_VALUE"""),155.0)</f>
        <v>155</v>
      </c>
      <c r="D47" s="7" t="str">
        <f>IFERROR(__xludf.DUMMYFUNCTION("""COMPUTED_VALUE"""),"Web, Mobile")</f>
        <v>Web, Mobile</v>
      </c>
      <c r="E47" s="7" t="str">
        <f>IFERROR(__xludf.DUMMYFUNCTION("""COMPUTED_VALUE"""),"Applicable Validations")</f>
        <v>Applicable Validations</v>
      </c>
      <c r="F47" s="7" t="str">
        <f>IFERROR(__xludf.DUMMYFUNCTION("""COMPUTED_VALUE"""),"Create")</f>
        <v>Create</v>
      </c>
      <c r="G47" s="7" t="str">
        <f>IFERROR(__xludf.DUMMYFUNCTION("""COMPUTED_VALUE"""),"M")</f>
        <v>M</v>
      </c>
      <c r="H47" s="7" t="str">
        <f>IFERROR(__xludf.DUMMYFUNCTION("""COMPUTED_VALUE"""),"Ankit")</f>
        <v>Ankit</v>
      </c>
      <c r="I47" s="7" t="str">
        <f>IFERROR(__xludf.DUMMYFUNCTION("""COMPUTED_VALUE"""),"UI")</f>
        <v>UI</v>
      </c>
      <c r="J47" s="7" t="str">
        <f>IFERROR(__xludf.DUMMYFUNCTION("""COMPUTED_VALUE"""),"")</f>
        <v/>
      </c>
      <c r="K47" s="7" t="str">
        <f>IFERROR(__xludf.DUMMYFUNCTION("""COMPUTED_VALUE"""),"Verify the Caption, Placeholder of the Allowed extensions field.")</f>
        <v>Verify the Caption, Placeholder of the Allowed extensions field.</v>
      </c>
      <c r="L47" s="7" t="str">
        <f>IFERROR(__xludf.DUMMYFUNCTION("""COMPUTED_VALUE"""),"1. Go to manage form list.
2. Click on Modify form in Action.
3. Select any question.
4. Click on link.
5. Verify the caption and field")</f>
        <v>1. Go to manage form list.
2. Click on Modify form in Action.
3. Select any question.
4. Click on link.
5. Verify the caption and field</v>
      </c>
      <c r="M47" s="7" t="str">
        <f>IFERROR(__xludf.DUMMYFUNCTION("""COMPUTED_VALUE"""),"Place holder: Allowed Extensions
Control Type: Dropdown")</f>
        <v>Place holder: Allowed Extensions
Control Type: Dropdown</v>
      </c>
      <c r="N47" s="7" t="str">
        <f>IFERROR(__xludf.DUMMYFUNCTION("""COMPUTED_VALUE"""),"")</f>
        <v/>
      </c>
      <c r="O47" s="7" t="str">
        <f>IFERROR(__xludf.DUMMYFUNCTION("""COMPUTED_VALUE"""),"Caption is different (E is small in Extension)
")</f>
        <v>Caption is different (E is small in Extension)
</v>
      </c>
      <c r="P47" s="7" t="str">
        <f>IFERROR(__xludf.DUMMYFUNCTION("""COMPUTED_VALUE"""),"Fail")</f>
        <v>Fail</v>
      </c>
      <c r="Q47" s="7" t="str">
        <f>IFERROR(__xludf.DUMMYFUNCTION("""COMPUTED_VALUE"""),"")</f>
        <v/>
      </c>
      <c r="R47" s="8">
        <f>IFERROR(__xludf.DUMMYFUNCTION("""COMPUTED_VALUE"""),43797.0)</f>
        <v>43797</v>
      </c>
      <c r="S47" s="7" t="str">
        <f>IFERROR(__xludf.DUMMYFUNCTION("""COMPUTED_VALUE"""),"")</f>
        <v/>
      </c>
      <c r="T47" s="9" t="s">
        <v>10</v>
      </c>
      <c r="U47" s="7"/>
      <c r="V47" s="9" t="s">
        <v>11</v>
      </c>
      <c r="W47" s="9" t="s">
        <v>66</v>
      </c>
      <c r="X47" s="7"/>
      <c r="Y47" s="7"/>
      <c r="Z47" s="7"/>
    </row>
    <row r="48">
      <c r="A48" s="7" t="str">
        <f>IFERROR(__xludf.DUMMYFUNCTION("""COMPUTED_VALUE"""),"TCM_dKosh_General_SMF1_018_159")</f>
        <v>TCM_dKosh_General_SMF1_018_159</v>
      </c>
      <c r="B48" s="7" t="str">
        <f>IFERROR(__xludf.DUMMYFUNCTION("""COMPUTED_VALUE"""),"TP_dKosh_General_SMF1_018")</f>
        <v>TP_dKosh_General_SMF1_018</v>
      </c>
      <c r="C48" s="7">
        <f>IFERROR(__xludf.DUMMYFUNCTION("""COMPUTED_VALUE"""),159.0)</f>
        <v>159</v>
      </c>
      <c r="D48" s="7" t="str">
        <f>IFERROR(__xludf.DUMMYFUNCTION("""COMPUTED_VALUE"""),"Web, Mobile")</f>
        <v>Web, Mobile</v>
      </c>
      <c r="E48" s="7" t="str">
        <f>IFERROR(__xludf.DUMMYFUNCTION("""COMPUTED_VALUE"""),"Applicable Validations")</f>
        <v>Applicable Validations</v>
      </c>
      <c r="F48" s="7" t="str">
        <f>IFERROR(__xludf.DUMMYFUNCTION("""COMPUTED_VALUE"""),"Create")</f>
        <v>Create</v>
      </c>
      <c r="G48" s="7" t="str">
        <f>IFERROR(__xludf.DUMMYFUNCTION("""COMPUTED_VALUE"""),"M")</f>
        <v>M</v>
      </c>
      <c r="H48" s="7" t="str">
        <f>IFERROR(__xludf.DUMMYFUNCTION("""COMPUTED_VALUE"""),"Ankit")</f>
        <v>Ankit</v>
      </c>
      <c r="I48" s="7" t="str">
        <f>IFERROR(__xludf.DUMMYFUNCTION("""COMPUTED_VALUE"""),"Validation")</f>
        <v>Validation</v>
      </c>
      <c r="J48" s="7" t="str">
        <f>IFERROR(__xludf.DUMMYFUNCTION("""COMPUTED_VALUE"""),"")</f>
        <v/>
      </c>
      <c r="K48" s="7" t="str">
        <f>IFERROR(__xludf.DUMMYFUNCTION("""COMPUTED_VALUE"""),"Verify Minimum value field accepts which type of data.
")</f>
        <v>Verify Minimum value field accepts which type of data.
</v>
      </c>
      <c r="L48" s="7" t="str">
        <f>IFERROR(__xludf.DUMMYFUNCTION("""COMPUTED_VALUE"""),"1. Go to manage form list.
2. Click on Modify form in Action.
3. Select any question.
4. Click on link.
5. Enter data in Minimum value field.")</f>
        <v>1. Go to manage form list.
2. Click on Modify form in Action.
3. Select any question.
4. Click on link.
5. Enter data in Minimum value field.</v>
      </c>
      <c r="M48" s="7" t="str">
        <f>IFERROR(__xludf.DUMMYFUNCTION("""COMPUTED_VALUE"""),"Should accept only numbers")</f>
        <v>Should accept only numbers</v>
      </c>
      <c r="N48" s="7" t="str">
        <f>IFERROR(__xludf.DUMMYFUNCTION("""COMPUTED_VALUE"""),"Show some validation message before saving.")</f>
        <v>Show some validation message before saving.</v>
      </c>
      <c r="O48" s="7" t="str">
        <f>IFERROR(__xludf.DUMMYFUNCTION("""COMPUTED_VALUE"""),"Accept all character,decimal value but after save it changes to integer")</f>
        <v>Accept all character,decimal value but after save it changes to integer</v>
      </c>
      <c r="P48" s="7" t="str">
        <f>IFERROR(__xludf.DUMMYFUNCTION("""COMPUTED_VALUE"""),"Fail")</f>
        <v>Fail</v>
      </c>
      <c r="Q48" s="7" t="str">
        <f>IFERROR(__xludf.DUMMYFUNCTION("""COMPUTED_VALUE"""),"")</f>
        <v/>
      </c>
      <c r="R48" s="8">
        <f>IFERROR(__xludf.DUMMYFUNCTION("""COMPUTED_VALUE"""),43797.0)</f>
        <v>43797</v>
      </c>
      <c r="S48" s="7" t="str">
        <f>IFERROR(__xludf.DUMMYFUNCTION("""COMPUTED_VALUE"""),"")</f>
        <v/>
      </c>
      <c r="T48" s="9" t="s">
        <v>10</v>
      </c>
      <c r="U48" s="7"/>
      <c r="V48" s="9" t="s">
        <v>11</v>
      </c>
      <c r="W48" s="9" t="s">
        <v>66</v>
      </c>
      <c r="X48" s="7"/>
      <c r="Y48" s="7"/>
      <c r="Z48" s="7"/>
    </row>
    <row r="49">
      <c r="A49" s="7" t="str">
        <f>IFERROR(__xludf.DUMMYFUNCTION("""COMPUTED_VALUE"""),"TCM_dKosh_General_SMF1_018_167")</f>
        <v>TCM_dKosh_General_SMF1_018_167</v>
      </c>
      <c r="B49" s="7" t="str">
        <f>IFERROR(__xludf.DUMMYFUNCTION("""COMPUTED_VALUE"""),"TP_dKosh_General_SMF1_018")</f>
        <v>TP_dKosh_General_SMF1_018</v>
      </c>
      <c r="C49" s="7">
        <f>IFERROR(__xludf.DUMMYFUNCTION("""COMPUTED_VALUE"""),167.0)</f>
        <v>167</v>
      </c>
      <c r="D49" s="7" t="str">
        <f>IFERROR(__xludf.DUMMYFUNCTION("""COMPUTED_VALUE"""),"Web, Mobile")</f>
        <v>Web, Mobile</v>
      </c>
      <c r="E49" s="7" t="str">
        <f>IFERROR(__xludf.DUMMYFUNCTION("""COMPUTED_VALUE"""),"Applicable Validations")</f>
        <v>Applicable Validations</v>
      </c>
      <c r="F49" s="7" t="str">
        <f>IFERROR(__xludf.DUMMYFUNCTION("""COMPUTED_VALUE"""),"Create")</f>
        <v>Create</v>
      </c>
      <c r="G49" s="7" t="str">
        <f>IFERROR(__xludf.DUMMYFUNCTION("""COMPUTED_VALUE"""),"M")</f>
        <v>M</v>
      </c>
      <c r="H49" s="7" t="str">
        <f>IFERROR(__xludf.DUMMYFUNCTION("""COMPUTED_VALUE"""),"Ankit")</f>
        <v>Ankit</v>
      </c>
      <c r="I49" s="7" t="str">
        <f>IFERROR(__xludf.DUMMYFUNCTION("""COMPUTED_VALUE"""),"Validation")</f>
        <v>Validation</v>
      </c>
      <c r="J49" s="7" t="str">
        <f>IFERROR(__xludf.DUMMYFUNCTION("""COMPUTED_VALUE"""),"")</f>
        <v/>
      </c>
      <c r="K49" s="7" t="str">
        <f>IFERROR(__xludf.DUMMYFUNCTION("""COMPUTED_VALUE"""),"Verify Error message(range) field accepts which type of data.
")</f>
        <v>Verify Error message(range) field accepts which type of data.
</v>
      </c>
      <c r="L49" s="7" t="str">
        <f>IFERROR(__xludf.DUMMYFUNCTION("""COMPUTED_VALUE"""),"1. Go to manage form list.
2. Click on Modify form in Action.
3. Select any question.
4. Click on link.
5. Enter data in Error message(range) field.")</f>
        <v>1. Go to manage form list.
2. Click on Modify form in Action.
3. Select any question.
4. Click on link.
5. Enter data in Error message(range) field.</v>
      </c>
      <c r="M49" s="7" t="str">
        <f>IFERROR(__xludf.DUMMYFUNCTION("""COMPUTED_VALUE"""),"Should accept alphanumeric value")</f>
        <v>Should accept alphanumeric value</v>
      </c>
      <c r="N49" s="7" t="str">
        <f>IFERROR(__xludf.DUMMYFUNCTION("""COMPUTED_VALUE"""),"")</f>
        <v/>
      </c>
      <c r="O49" s="7" t="str">
        <f>IFERROR(__xludf.DUMMYFUNCTION("""COMPUTED_VALUE"""),"Error message not save after save.")</f>
        <v>Error message not save after save.</v>
      </c>
      <c r="P49" s="7" t="str">
        <f>IFERROR(__xludf.DUMMYFUNCTION("""COMPUTED_VALUE"""),"Fail")</f>
        <v>Fail</v>
      </c>
      <c r="Q49" s="7" t="str">
        <f>IFERROR(__xludf.DUMMYFUNCTION("""COMPUTED_VALUE"""),"")</f>
        <v/>
      </c>
      <c r="R49" s="8" t="str">
        <f>IFERROR(__xludf.DUMMYFUNCTION("""COMPUTED_VALUE"""),"")</f>
        <v/>
      </c>
      <c r="S49" s="7" t="str">
        <f>IFERROR(__xludf.DUMMYFUNCTION("""COMPUTED_VALUE"""),"")</f>
        <v/>
      </c>
      <c r="T49" s="9" t="s">
        <v>10</v>
      </c>
      <c r="U49" s="7"/>
      <c r="V49" s="9" t="s">
        <v>11</v>
      </c>
      <c r="W49" s="9" t="s">
        <v>66</v>
      </c>
      <c r="X49" s="7"/>
      <c r="Y49" s="7"/>
      <c r="Z49" s="7"/>
    </row>
    <row r="50">
      <c r="A50" s="7" t="str">
        <f>IFERROR(__xludf.DUMMYFUNCTION("""COMPUTED_VALUE"""),"TCM_dKosh_General_SMF1_018_170")</f>
        <v>TCM_dKosh_General_SMF1_018_170</v>
      </c>
      <c r="B50" s="7" t="str">
        <f>IFERROR(__xludf.DUMMYFUNCTION("""COMPUTED_VALUE"""),"TP_dKosh_General_SMF1_018")</f>
        <v>TP_dKosh_General_SMF1_018</v>
      </c>
      <c r="C50" s="7">
        <f>IFERROR(__xludf.DUMMYFUNCTION("""COMPUTED_VALUE"""),170.0)</f>
        <v>170</v>
      </c>
      <c r="D50" s="7" t="str">
        <f>IFERROR(__xludf.DUMMYFUNCTION("""COMPUTED_VALUE"""),"Web, Mobile")</f>
        <v>Web, Mobile</v>
      </c>
      <c r="E50" s="7" t="str">
        <f>IFERROR(__xludf.DUMMYFUNCTION("""COMPUTED_VALUE"""),"Applicable Validations")</f>
        <v>Applicable Validations</v>
      </c>
      <c r="F50" s="7" t="str">
        <f>IFERROR(__xludf.DUMMYFUNCTION("""COMPUTED_VALUE"""),"Create")</f>
        <v>Create</v>
      </c>
      <c r="G50" s="7" t="str">
        <f>IFERROR(__xludf.DUMMYFUNCTION("""COMPUTED_VALUE"""),"M")</f>
        <v>M</v>
      </c>
      <c r="H50" s="7" t="str">
        <f>IFERROR(__xludf.DUMMYFUNCTION("""COMPUTED_VALUE"""),"Jaikishan")</f>
        <v>Jaikishan</v>
      </c>
      <c r="I50" s="7" t="str">
        <f>IFERROR(__xludf.DUMMYFUNCTION("""COMPUTED_VALUE"""),"Validation")</f>
        <v>Validation</v>
      </c>
      <c r="J50" s="7" t="str">
        <f>IFERROR(__xludf.DUMMYFUNCTION("""COMPUTED_VALUE"""),"")</f>
        <v/>
      </c>
      <c r="K50" s="7" t="str">
        <f>IFERROR(__xludf.DUMMYFUNCTION("""COMPUTED_VALUE"""),"Verify when change question type after filled data in validation")</f>
        <v>Verify when change question type after filled data in validation</v>
      </c>
      <c r="L50" s="7" t="str">
        <f>IFERROR(__xludf.DUMMYFUNCTION("""COMPUTED_VALUE"""),"1. Go to manage form list.
2. Click on Modify form in Action.
3. Select any question.
4. Click on link.
5.fill data
6. change question type
7. Check field")</f>
        <v>1. Go to manage form list.
2. Click on Modify form in Action.
3. Select any question.
4. Click on link.
5.fill data
6. change question type
7. Check field</v>
      </c>
      <c r="M50" s="7" t="str">
        <f>IFERROR(__xludf.DUMMYFUNCTION("""COMPUTED_VALUE"""),"All field should be clear for new question type")</f>
        <v>All field should be clear for new question type</v>
      </c>
      <c r="N50" s="7" t="str">
        <f>IFERROR(__xludf.DUMMYFUNCTION("""COMPUTED_VALUE"""),"For paragraph &amp; short text")</f>
        <v>For paragraph &amp; short text</v>
      </c>
      <c r="O50" s="7" t="str">
        <f>IFERROR(__xludf.DUMMYFUNCTION("""COMPUTED_VALUE"""),"Previous data showing for new question type.
")</f>
        <v>Previous data showing for new question type.
</v>
      </c>
      <c r="P50" s="7" t="str">
        <f>IFERROR(__xludf.DUMMYFUNCTION("""COMPUTED_VALUE"""),"Fail")</f>
        <v>Fail</v>
      </c>
      <c r="Q50" s="7" t="str">
        <f>IFERROR(__xludf.DUMMYFUNCTION("""COMPUTED_VALUE"""),"")</f>
        <v/>
      </c>
      <c r="R50" s="8" t="str">
        <f>IFERROR(__xludf.DUMMYFUNCTION("""COMPUTED_VALUE"""),"")</f>
        <v/>
      </c>
      <c r="S50" s="7" t="str">
        <f>IFERROR(__xludf.DUMMYFUNCTION("""COMPUTED_VALUE"""),"")</f>
        <v/>
      </c>
      <c r="T50" s="9" t="s">
        <v>80</v>
      </c>
      <c r="U50" s="9" t="s">
        <v>8</v>
      </c>
      <c r="V50" s="7"/>
      <c r="W50" s="9" t="s">
        <v>66</v>
      </c>
      <c r="X50" s="7"/>
      <c r="Y50" s="7"/>
      <c r="Z50" s="7"/>
    </row>
    <row r="51">
      <c r="A51" s="7" t="str">
        <f>IFERROR(__xludf.DUMMYFUNCTION("""COMPUTED_VALUE"""),"TCM_dKosh_General_SMF1_018_184")</f>
        <v>TCM_dKosh_General_SMF1_018_184</v>
      </c>
      <c r="B51" s="7" t="str">
        <f>IFERROR(__xludf.DUMMYFUNCTION("""COMPUTED_VALUE"""),"TP_dKosh_General_SMF1_018")</f>
        <v>TP_dKosh_General_SMF1_018</v>
      </c>
      <c r="C51" s="7">
        <f>IFERROR(__xludf.DUMMYFUNCTION("""COMPUTED_VALUE"""),184.0)</f>
        <v>184</v>
      </c>
      <c r="D51" s="7" t="str">
        <f>IFERROR(__xludf.DUMMYFUNCTION("""COMPUTED_VALUE"""),"Web, Mobile")</f>
        <v>Web, Mobile</v>
      </c>
      <c r="E51" s="7" t="str">
        <f>IFERROR(__xludf.DUMMYFUNCTION("""COMPUTED_VALUE"""),"Applicable Validations")</f>
        <v>Applicable Validations</v>
      </c>
      <c r="F51" s="7" t="str">
        <f>IFERROR(__xludf.DUMMYFUNCTION("""COMPUTED_VALUE"""),"Create")</f>
        <v>Create</v>
      </c>
      <c r="G51" s="7" t="str">
        <f>IFERROR(__xludf.DUMMYFUNCTION("""COMPUTED_VALUE"""),"M")</f>
        <v>M</v>
      </c>
      <c r="H51" s="7" t="str">
        <f>IFERROR(__xludf.DUMMYFUNCTION("""COMPUTED_VALUE"""),"Ankit")</f>
        <v>Ankit</v>
      </c>
      <c r="I51" s="7" t="str">
        <f>IFERROR(__xludf.DUMMYFUNCTION("""COMPUTED_VALUE"""),"Validation")</f>
        <v>Validation</v>
      </c>
      <c r="J51" s="7" t="str">
        <f>IFERROR(__xludf.DUMMYFUNCTION("""COMPUTED_VALUE"""),"")</f>
        <v/>
      </c>
      <c r="K51" s="7" t="str">
        <f>IFERROR(__xludf.DUMMYFUNCTION("""COMPUTED_VALUE"""),"Verify Regular expression field accepts which type of data.
")</f>
        <v>Verify Regular expression field accepts which type of data.
</v>
      </c>
      <c r="L51" s="7" t="str">
        <f>IFERROR(__xludf.DUMMYFUNCTION("""COMPUTED_VALUE"""),"1. Go to manage form list.
2. Click on Modify form in Action.
3. Select any question.
4. Click on link.
5. Enter data in Regular expression field.")</f>
        <v>1. Go to manage form list.
2. Click on Modify form in Action.
3. Select any question.
4. Click on link.
5. Enter data in Regular expression field.</v>
      </c>
      <c r="M51" s="7" t="str">
        <f>IFERROR(__xludf.DUMMYFUNCTION("""COMPUTED_VALUE"""),"Should accept only numbers")</f>
        <v>Should accept only numbers</v>
      </c>
      <c r="N51" s="7" t="str">
        <f>IFERROR(__xludf.DUMMYFUNCTION("""COMPUTED_VALUE"""),"")</f>
        <v/>
      </c>
      <c r="O51" s="7" t="str">
        <f>IFERROR(__xludf.DUMMYFUNCTION("""COMPUTED_VALUE"""),"Accept all character,decimal value.")</f>
        <v>Accept all character,decimal value.</v>
      </c>
      <c r="P51" s="7" t="str">
        <f>IFERROR(__xludf.DUMMYFUNCTION("""COMPUTED_VALUE"""),"Fail")</f>
        <v>Fail</v>
      </c>
      <c r="Q51" s="7" t="str">
        <f>IFERROR(__xludf.DUMMYFUNCTION("""COMPUTED_VALUE"""),"")</f>
        <v/>
      </c>
      <c r="R51" s="8" t="str">
        <f>IFERROR(__xludf.DUMMYFUNCTION("""COMPUTED_VALUE"""),"")</f>
        <v/>
      </c>
      <c r="S51" s="7" t="str">
        <f>IFERROR(__xludf.DUMMYFUNCTION("""COMPUTED_VALUE"""),"")</f>
        <v/>
      </c>
      <c r="T51" s="9" t="s">
        <v>10</v>
      </c>
      <c r="U51" s="7"/>
      <c r="V51" s="9" t="s">
        <v>11</v>
      </c>
      <c r="W51" s="9" t="s">
        <v>66</v>
      </c>
      <c r="X51" s="7"/>
      <c r="Y51" s="7"/>
      <c r="Z51" s="7"/>
    </row>
    <row r="52">
      <c r="A52" s="7" t="str">
        <f>IFERROR(__xludf.DUMMYFUNCTION("""COMPUTED_VALUE"""),"TCM_dKosh_General_SMF1_018_204")</f>
        <v>TCM_dKosh_General_SMF1_018_204</v>
      </c>
      <c r="B52" s="7" t="str">
        <f>IFERROR(__xludf.DUMMYFUNCTION("""COMPUTED_VALUE"""),"TP_dKosh_General_SMF1_018")</f>
        <v>TP_dKosh_General_SMF1_018</v>
      </c>
      <c r="C52" s="7">
        <f>IFERROR(__xludf.DUMMYFUNCTION("""COMPUTED_VALUE"""),204.0)</f>
        <v>204</v>
      </c>
      <c r="D52" s="7" t="str">
        <f>IFERROR(__xludf.DUMMYFUNCTION("""COMPUTED_VALUE"""),"Web, Mobile")</f>
        <v>Web, Mobile</v>
      </c>
      <c r="E52" s="7" t="str">
        <f>IFERROR(__xludf.DUMMYFUNCTION("""COMPUTED_VALUE"""),"Dependency")</f>
        <v>Dependency</v>
      </c>
      <c r="F52" s="7" t="str">
        <f>IFERROR(__xludf.DUMMYFUNCTION("""COMPUTED_VALUE"""),"Create")</f>
        <v>Create</v>
      </c>
      <c r="G52" s="7" t="str">
        <f>IFERROR(__xludf.DUMMYFUNCTION("""COMPUTED_VALUE"""),"M")</f>
        <v>M</v>
      </c>
      <c r="H52" s="7" t="str">
        <f>IFERROR(__xludf.DUMMYFUNCTION("""COMPUTED_VALUE"""),"Ankit")</f>
        <v>Ankit</v>
      </c>
      <c r="I52" s="7" t="str">
        <f>IFERROR(__xludf.DUMMYFUNCTION("""COMPUTED_VALUE"""),"Functional")</f>
        <v>Functional</v>
      </c>
      <c r="J52" s="7" t="str">
        <f>IFERROR(__xludf.DUMMYFUNCTION("""COMPUTED_VALUE"""),"")</f>
        <v/>
      </c>
      <c r="K52" s="7" t="str">
        <f>IFERROR(__xludf.DUMMYFUNCTION("""COMPUTED_VALUE"""),"Verify the data in Section dropdown.")</f>
        <v>Verify the data in Section dropdown.</v>
      </c>
      <c r="L52" s="7" t="str">
        <f>IFERROR(__xludf.DUMMYFUNCTION("""COMPUTED_VALUE"""),"1. Go to manage form list.
2. Click on Modify form in Action.
3. Select any question type.
4. Click on Dependency.
5. Verify the data of Section dropdown.")</f>
        <v>1. Go to manage form list.
2. Click on Modify form in Action.
3. Select any question type.
4. Click on Dependency.
5. Verify the data of Section dropdown.</v>
      </c>
      <c r="M52" s="7" t="str">
        <f>IFERROR(__xludf.DUMMYFUNCTION("""COMPUTED_VALUE"""),"All sections which are define current and before this question's section. ")</f>
        <v>All sections which are define current and before this question's section. </v>
      </c>
      <c r="N52" s="7" t="str">
        <f>IFERROR(__xludf.DUMMYFUNCTION("""COMPUTED_VALUE"""),"")</f>
        <v/>
      </c>
      <c r="O52" s="7" t="str">
        <f>IFERROR(__xludf.DUMMYFUNCTION("""COMPUTED_VALUE"""),"All section displaying in section dropdown")</f>
        <v>All section displaying in section dropdown</v>
      </c>
      <c r="P52" s="7" t="str">
        <f>IFERROR(__xludf.DUMMYFUNCTION("""COMPUTED_VALUE"""),"Fail")</f>
        <v>Fail</v>
      </c>
      <c r="Q52" s="7" t="str">
        <f>IFERROR(__xludf.DUMMYFUNCTION("""COMPUTED_VALUE"""),"")</f>
        <v/>
      </c>
      <c r="R52" s="8" t="str">
        <f>IFERROR(__xludf.DUMMYFUNCTION("""COMPUTED_VALUE"""),"")</f>
        <v/>
      </c>
      <c r="S52" s="7" t="str">
        <f>IFERROR(__xludf.DUMMYFUNCTION("""COMPUTED_VALUE"""),"")</f>
        <v/>
      </c>
      <c r="T52" s="9" t="s">
        <v>10</v>
      </c>
      <c r="U52" s="7"/>
      <c r="V52" s="9" t="s">
        <v>11</v>
      </c>
      <c r="W52" s="9" t="s">
        <v>66</v>
      </c>
      <c r="X52" s="9" t="s">
        <v>81</v>
      </c>
      <c r="Y52" s="7"/>
      <c r="Z52" s="7"/>
    </row>
    <row r="53">
      <c r="A53" s="7" t="str">
        <f>IFERROR(__xludf.DUMMYFUNCTION("""COMPUTED_VALUE"""),"TCM_dKosh_General_SMF1_018_205")</f>
        <v>TCM_dKosh_General_SMF1_018_205</v>
      </c>
      <c r="B53" s="7" t="str">
        <f>IFERROR(__xludf.DUMMYFUNCTION("""COMPUTED_VALUE"""),"TP_dKosh_General_SMF1_018")</f>
        <v>TP_dKosh_General_SMF1_018</v>
      </c>
      <c r="C53" s="7">
        <f>IFERROR(__xludf.DUMMYFUNCTION("""COMPUTED_VALUE"""),205.0)</f>
        <v>205</v>
      </c>
      <c r="D53" s="7" t="str">
        <f>IFERROR(__xludf.DUMMYFUNCTION("""COMPUTED_VALUE"""),"Web, Mobile")</f>
        <v>Web, Mobile</v>
      </c>
      <c r="E53" s="7" t="str">
        <f>IFERROR(__xludf.DUMMYFUNCTION("""COMPUTED_VALUE"""),"Dependency")</f>
        <v>Dependency</v>
      </c>
      <c r="F53" s="7" t="str">
        <f>IFERROR(__xludf.DUMMYFUNCTION("""COMPUTED_VALUE"""),"Create")</f>
        <v>Create</v>
      </c>
      <c r="G53" s="7" t="str">
        <f>IFERROR(__xludf.DUMMYFUNCTION("""COMPUTED_VALUE"""),"M")</f>
        <v>M</v>
      </c>
      <c r="H53" s="7" t="str">
        <f>IFERROR(__xludf.DUMMYFUNCTION("""COMPUTED_VALUE"""),"Jaikishan")</f>
        <v>Jaikishan</v>
      </c>
      <c r="I53" s="7" t="str">
        <f>IFERROR(__xludf.DUMMYFUNCTION("""COMPUTED_VALUE"""),"Functional")</f>
        <v>Functional</v>
      </c>
      <c r="J53" s="7" t="str">
        <f>IFERROR(__xludf.DUMMYFUNCTION("""COMPUTED_VALUE"""),"")</f>
        <v/>
      </c>
      <c r="K53" s="7" t="str">
        <f>IFERROR(__xludf.DUMMYFUNCTION("""COMPUTED_VALUE"""),"Verify the data in Question dropdown as shortname displayed")</f>
        <v>Verify the data in Question dropdown as shortname displayed</v>
      </c>
      <c r="L53" s="7" t="str">
        <f>IFERROR(__xludf.DUMMYFUNCTION("""COMPUTED_VALUE"""),"1. Go to manage form list.
2. Click on Modify form in Action.
3. Select any question type.
4. Click on Dependency.
5. Verify the data of Question dropdown.")</f>
        <v>1. Go to manage form list.
2. Click on Modify form in Action.
3. Select any question type.
4. Click on Dependency.
5. Verify the data of Question dropdown.</v>
      </c>
      <c r="M53" s="7" t="str">
        <f>IFERROR(__xludf.DUMMYFUNCTION("""COMPUTED_VALUE"""),"All short name of questions which are define before this question should be displayed")</f>
        <v>All short name of questions which are define before this question should be displayed</v>
      </c>
      <c r="N53" s="7" t="str">
        <f>IFERROR(__xludf.DUMMYFUNCTION("""COMPUTED_VALUE"""),"")</f>
        <v/>
      </c>
      <c r="O53" s="7" t="str">
        <f>IFERROR(__xludf.DUMMYFUNCTION("""COMPUTED_VALUE"""),"Question name is displaying instead of short name")</f>
        <v>Question name is displaying instead of short name</v>
      </c>
      <c r="P53" s="7" t="str">
        <f>IFERROR(__xludf.DUMMYFUNCTION("""COMPUTED_VALUE"""),"Fail")</f>
        <v>Fail</v>
      </c>
      <c r="Q53" s="7" t="str">
        <f>IFERROR(__xludf.DUMMYFUNCTION("""COMPUTED_VALUE"""),"")</f>
        <v/>
      </c>
      <c r="R53" s="8" t="str">
        <f>IFERROR(__xludf.DUMMYFUNCTION("""COMPUTED_VALUE"""),"")</f>
        <v/>
      </c>
      <c r="S53" s="7" t="str">
        <f>IFERROR(__xludf.DUMMYFUNCTION("""COMPUTED_VALUE"""),"")</f>
        <v/>
      </c>
      <c r="T53" s="9" t="s">
        <v>10</v>
      </c>
      <c r="U53" s="7"/>
      <c r="V53" s="9" t="s">
        <v>13</v>
      </c>
      <c r="W53" s="9" t="s">
        <v>66</v>
      </c>
      <c r="X53" s="7"/>
      <c r="Y53" s="7"/>
      <c r="Z53" s="7"/>
    </row>
    <row r="54">
      <c r="A54" s="7" t="str">
        <f>IFERROR(__xludf.DUMMYFUNCTION("""COMPUTED_VALUE"""),"TCM_dKosh_General_SMF1_018_206")</f>
        <v>TCM_dKosh_General_SMF1_018_206</v>
      </c>
      <c r="B54" s="7" t="str">
        <f>IFERROR(__xludf.DUMMYFUNCTION("""COMPUTED_VALUE"""),"TP_dKosh_General_SMF1_018")</f>
        <v>TP_dKosh_General_SMF1_018</v>
      </c>
      <c r="C54" s="7">
        <f>IFERROR(__xludf.DUMMYFUNCTION("""COMPUTED_VALUE"""),206.0)</f>
        <v>206</v>
      </c>
      <c r="D54" s="7" t="str">
        <f>IFERROR(__xludf.DUMMYFUNCTION("""COMPUTED_VALUE"""),"Web, Mobile")</f>
        <v>Web, Mobile</v>
      </c>
      <c r="E54" s="7" t="str">
        <f>IFERROR(__xludf.DUMMYFUNCTION("""COMPUTED_VALUE"""),"Dependency")</f>
        <v>Dependency</v>
      </c>
      <c r="F54" s="7" t="str">
        <f>IFERROR(__xludf.DUMMYFUNCTION("""COMPUTED_VALUE"""),"Create")</f>
        <v>Create</v>
      </c>
      <c r="G54" s="7" t="str">
        <f>IFERROR(__xludf.DUMMYFUNCTION("""COMPUTED_VALUE"""),"M")</f>
        <v>M</v>
      </c>
      <c r="H54" s="7" t="str">
        <f>IFERROR(__xludf.DUMMYFUNCTION("""COMPUTED_VALUE"""),"Jaikishan")</f>
        <v>Jaikishan</v>
      </c>
      <c r="I54" s="7" t="str">
        <f>IFERROR(__xludf.DUMMYFUNCTION("""COMPUTED_VALUE"""),"Functional")</f>
        <v>Functional</v>
      </c>
      <c r="J54" s="7" t="str">
        <f>IFERROR(__xludf.DUMMYFUNCTION("""COMPUTED_VALUE"""),"")</f>
        <v/>
      </c>
      <c r="K54" s="7" t="str">
        <f>IFERROR(__xludf.DUMMYFUNCTION("""COMPUTED_VALUE"""),"Verify the data in Question dropdown.")</f>
        <v>Verify the data in Question dropdown.</v>
      </c>
      <c r="L54" s="7" t="str">
        <f>IFERROR(__xludf.DUMMYFUNCTION("""COMPUTED_VALUE"""),"1. Go to manage form list.
2. Click on Modify form in Action.
3. Select any question type.
4. Click on Dependency.
5. Verify the data of Question dropdown.")</f>
        <v>1. Go to manage form list.
2. Click on Modify form in Action.
3. Select any question type.
4. Click on Dependency.
5. Verify the data of Question dropdown.</v>
      </c>
      <c r="M54" s="7" t="str">
        <f>IFERROR(__xludf.DUMMYFUNCTION("""COMPUTED_VALUE"""),"Question related to that section should be displayed")</f>
        <v>Question related to that section should be displayed</v>
      </c>
      <c r="N54" s="7" t="str">
        <f>IFERROR(__xludf.DUMMYFUNCTION("""COMPUTED_VALUE"""),"")</f>
        <v/>
      </c>
      <c r="O54" s="7" t="str">
        <f>IFERROR(__xludf.DUMMYFUNCTION("""COMPUTED_VALUE"""),"Question not displayed related to selected section")</f>
        <v>Question not displayed related to selected section</v>
      </c>
      <c r="P54" s="7" t="str">
        <f>IFERROR(__xludf.DUMMYFUNCTION("""COMPUTED_VALUE"""),"Fail")</f>
        <v>Fail</v>
      </c>
      <c r="Q54" s="7" t="str">
        <f>IFERROR(__xludf.DUMMYFUNCTION("""COMPUTED_VALUE"""),"")</f>
        <v/>
      </c>
      <c r="R54" s="8" t="str">
        <f>IFERROR(__xludf.DUMMYFUNCTION("""COMPUTED_VALUE"""),"")</f>
        <v/>
      </c>
      <c r="S54" s="7" t="str">
        <f>IFERROR(__xludf.DUMMYFUNCTION("""COMPUTED_VALUE"""),"")</f>
        <v/>
      </c>
      <c r="T54" s="9" t="s">
        <v>10</v>
      </c>
      <c r="U54" s="7"/>
      <c r="V54" s="9" t="s">
        <v>13</v>
      </c>
      <c r="W54" s="9" t="s">
        <v>66</v>
      </c>
      <c r="X54" s="7"/>
      <c r="Y54" s="7"/>
      <c r="Z54" s="7"/>
    </row>
    <row r="55">
      <c r="A55" s="7" t="str">
        <f>IFERROR(__xludf.DUMMYFUNCTION("""COMPUTED_VALUE"""),"TCM_dKosh_General_SMF1_018_207")</f>
        <v>TCM_dKosh_General_SMF1_018_207</v>
      </c>
      <c r="B55" s="7" t="str">
        <f>IFERROR(__xludf.DUMMYFUNCTION("""COMPUTED_VALUE"""),"TP_dKosh_General_SMF1_018")</f>
        <v>TP_dKosh_General_SMF1_018</v>
      </c>
      <c r="C55" s="7">
        <f>IFERROR(__xludf.DUMMYFUNCTION("""COMPUTED_VALUE"""),207.0)</f>
        <v>207</v>
      </c>
      <c r="D55" s="7" t="str">
        <f>IFERROR(__xludf.DUMMYFUNCTION("""COMPUTED_VALUE"""),"Web, Mobile")</f>
        <v>Web, Mobile</v>
      </c>
      <c r="E55" s="7" t="str">
        <f>IFERROR(__xludf.DUMMYFUNCTION("""COMPUTED_VALUE"""),"Dependency")</f>
        <v>Dependency</v>
      </c>
      <c r="F55" s="7" t="str">
        <f>IFERROR(__xludf.DUMMYFUNCTION("""COMPUTED_VALUE"""),"Create")</f>
        <v>Create</v>
      </c>
      <c r="G55" s="7" t="str">
        <f>IFERROR(__xludf.DUMMYFUNCTION("""COMPUTED_VALUE"""),"M")</f>
        <v>M</v>
      </c>
      <c r="H55" s="7" t="str">
        <f>IFERROR(__xludf.DUMMYFUNCTION("""COMPUTED_VALUE"""),"Ankit")</f>
        <v>Ankit</v>
      </c>
      <c r="I55" s="7" t="str">
        <f>IFERROR(__xludf.DUMMYFUNCTION("""COMPUTED_VALUE"""),"Functional")</f>
        <v>Functional</v>
      </c>
      <c r="J55" s="7" t="str">
        <f>IFERROR(__xludf.DUMMYFUNCTION("""COMPUTED_VALUE"""),"")</f>
        <v/>
      </c>
      <c r="K55" s="7" t="str">
        <f>IFERROR(__xludf.DUMMYFUNCTION("""COMPUTED_VALUE"""),"Verify the Response field in table if question type is Radio, Checkbox, Dropdown and Auto complete.")</f>
        <v>Verify the Response field in table if question type is Radio, Checkbox, Dropdown and Auto complete.</v>
      </c>
      <c r="L55" s="7" t="str">
        <f>IFERROR(__xludf.DUMMYFUNCTION("""COMPUTED_VALUE"""),"1. Go to manage form list.
2. Click on Modify form in Action.
3. Select any question type.
4. Click on Dependency.
5. Verify the data of Question dropdown.")</f>
        <v>1. Go to manage form list.
2. Click on Modify form in Action.
3. Select any question type.
4. Click on Dependency.
5. Verify the data of Question dropdown.</v>
      </c>
      <c r="M55" s="7" t="str">
        <f>IFERROR(__xludf.DUMMYFUNCTION("""COMPUTED_VALUE"""),"Multi select field should be displayed. otherwise text field")</f>
        <v>Multi select field should be displayed. otherwise text field</v>
      </c>
      <c r="N55" s="7" t="str">
        <f>IFERROR(__xludf.DUMMYFUNCTION("""COMPUTED_VALUE"""),"")</f>
        <v/>
      </c>
      <c r="O55" s="7" t="str">
        <f>IFERROR(__xludf.DUMMYFUNCTION("""COMPUTED_VALUE"""),"Multi select dropdown not showing")</f>
        <v>Multi select dropdown not showing</v>
      </c>
      <c r="P55" s="7" t="str">
        <f>IFERROR(__xludf.DUMMYFUNCTION("""COMPUTED_VALUE"""),"Fail")</f>
        <v>Fail</v>
      </c>
      <c r="Q55" s="7" t="str">
        <f>IFERROR(__xludf.DUMMYFUNCTION("""COMPUTED_VALUE"""),"")</f>
        <v/>
      </c>
      <c r="R55" s="8" t="str">
        <f>IFERROR(__xludf.DUMMYFUNCTION("""COMPUTED_VALUE"""),"")</f>
        <v/>
      </c>
      <c r="S55" s="7" t="str">
        <f>IFERROR(__xludf.DUMMYFUNCTION("""COMPUTED_VALUE"""),"")</f>
        <v/>
      </c>
      <c r="T55" s="9" t="s">
        <v>10</v>
      </c>
      <c r="U55" s="7"/>
      <c r="V55" s="9" t="s">
        <v>11</v>
      </c>
      <c r="W55" s="9" t="s">
        <v>66</v>
      </c>
      <c r="X55" s="7"/>
      <c r="Y55" s="7"/>
      <c r="Z55" s="7"/>
    </row>
    <row r="56">
      <c r="A56" s="7" t="str">
        <f>IFERROR(__xludf.DUMMYFUNCTION("""COMPUTED_VALUE"""),"TCM_dKosh_General_SMF1_018_208")</f>
        <v>TCM_dKosh_General_SMF1_018_208</v>
      </c>
      <c r="B56" s="7" t="str">
        <f>IFERROR(__xludf.DUMMYFUNCTION("""COMPUTED_VALUE"""),"TP_dKosh_General_SMF1_018")</f>
        <v>TP_dKosh_General_SMF1_018</v>
      </c>
      <c r="C56" s="7">
        <f>IFERROR(__xludf.DUMMYFUNCTION("""COMPUTED_VALUE"""),208.0)</f>
        <v>208</v>
      </c>
      <c r="D56" s="7" t="str">
        <f>IFERROR(__xludf.DUMMYFUNCTION("""COMPUTED_VALUE"""),"Web, Mobile")</f>
        <v>Web, Mobile</v>
      </c>
      <c r="E56" s="7" t="str">
        <f>IFERROR(__xludf.DUMMYFUNCTION("""COMPUTED_VALUE"""),"Dependency")</f>
        <v>Dependency</v>
      </c>
      <c r="F56" s="7" t="str">
        <f>IFERROR(__xludf.DUMMYFUNCTION("""COMPUTED_VALUE"""),"Create")</f>
        <v>Create</v>
      </c>
      <c r="G56" s="7" t="str">
        <f>IFERROR(__xludf.DUMMYFUNCTION("""COMPUTED_VALUE"""),"M")</f>
        <v>M</v>
      </c>
      <c r="H56" s="7" t="str">
        <f>IFERROR(__xludf.DUMMYFUNCTION("""COMPUTED_VALUE"""),"Ankit")</f>
        <v>Ankit</v>
      </c>
      <c r="I56" s="7" t="str">
        <f>IFERROR(__xludf.DUMMYFUNCTION("""COMPUTED_VALUE"""),"Functional")</f>
        <v>Functional</v>
      </c>
      <c r="J56" s="7" t="str">
        <f>IFERROR(__xludf.DUMMYFUNCTION("""COMPUTED_VALUE"""),"")</f>
        <v/>
      </c>
      <c r="K56" s="7" t="str">
        <f>IFERROR(__xludf.DUMMYFUNCTION("""COMPUTED_VALUE"""),"Verify the data in Response field if question type is Radio, Checkbox, Dropdown and Auto complete.")</f>
        <v>Verify the data in Response field if question type is Radio, Checkbox, Dropdown and Auto complete.</v>
      </c>
      <c r="L56" s="7" t="str">
        <f>IFERROR(__xludf.DUMMYFUNCTION("""COMPUTED_VALUE"""),"1. Go to manage form list.
2. Click on Modify form in Action.
3. Select any question type.
4. Click on Dependency.
5. Verify the data of Question dropdown.")</f>
        <v>1. Go to manage form list.
2. Click on Modify form in Action.
3. Select any question type.
4. Click on Dependency.
5. Verify the data of Question dropdown.</v>
      </c>
      <c r="M56" s="7" t="str">
        <f>IFERROR(__xludf.DUMMYFUNCTION("""COMPUTED_VALUE"""),"All options should be displayed related to the dependent questions.")</f>
        <v>All options should be displayed related to the dependent questions.</v>
      </c>
      <c r="N56" s="7" t="str">
        <f>IFERROR(__xludf.DUMMYFUNCTION("""COMPUTED_VALUE"""),"")</f>
        <v/>
      </c>
      <c r="O56" s="7" t="str">
        <f>IFERROR(__xludf.DUMMYFUNCTION("""COMPUTED_VALUE"""),"Option displayed but not in a multiselect dropdown")</f>
        <v>Option displayed but not in a multiselect dropdown</v>
      </c>
      <c r="P56" s="7" t="str">
        <f>IFERROR(__xludf.DUMMYFUNCTION("""COMPUTED_VALUE"""),"Fail")</f>
        <v>Fail</v>
      </c>
      <c r="Q56" s="7" t="str">
        <f>IFERROR(__xludf.DUMMYFUNCTION("""COMPUTED_VALUE"""),"")</f>
        <v/>
      </c>
      <c r="R56" s="8" t="str">
        <f>IFERROR(__xludf.DUMMYFUNCTION("""COMPUTED_VALUE"""),"")</f>
        <v/>
      </c>
      <c r="S56" s="7" t="str">
        <f>IFERROR(__xludf.DUMMYFUNCTION("""COMPUTED_VALUE"""),"")</f>
        <v/>
      </c>
      <c r="T56" s="7"/>
      <c r="U56" s="7"/>
      <c r="V56" s="7"/>
      <c r="W56" s="9" t="s">
        <v>66</v>
      </c>
      <c r="X56" s="7"/>
      <c r="Y56" s="7"/>
      <c r="Z56" s="7"/>
    </row>
    <row r="57">
      <c r="A57" s="7" t="str">
        <f>IFERROR(__xludf.DUMMYFUNCTION("""COMPUTED_VALUE"""),"TCM_dKosh_General_SMF1_018_210")</f>
        <v>TCM_dKosh_General_SMF1_018_210</v>
      </c>
      <c r="B57" s="7" t="str">
        <f>IFERROR(__xludf.DUMMYFUNCTION("""COMPUTED_VALUE"""),"TP_dKosh_General_SMF1_018")</f>
        <v>TP_dKosh_General_SMF1_018</v>
      </c>
      <c r="C57" s="7">
        <f>IFERROR(__xludf.DUMMYFUNCTION("""COMPUTED_VALUE"""),210.0)</f>
        <v>210</v>
      </c>
      <c r="D57" s="7" t="str">
        <f>IFERROR(__xludf.DUMMYFUNCTION("""COMPUTED_VALUE"""),"Web, Mobile")</f>
        <v>Web, Mobile</v>
      </c>
      <c r="E57" s="7" t="str">
        <f>IFERROR(__xludf.DUMMYFUNCTION("""COMPUTED_VALUE"""),"Dependency")</f>
        <v>Dependency</v>
      </c>
      <c r="F57" s="7" t="str">
        <f>IFERROR(__xludf.DUMMYFUNCTION("""COMPUTED_VALUE"""),"Create")</f>
        <v>Create</v>
      </c>
      <c r="G57" s="7" t="str">
        <f>IFERROR(__xludf.DUMMYFUNCTION("""COMPUTED_VALUE"""),"M")</f>
        <v>M</v>
      </c>
      <c r="H57" s="7" t="str">
        <f>IFERROR(__xludf.DUMMYFUNCTION("""COMPUTED_VALUE"""),"Ankit")</f>
        <v>Ankit</v>
      </c>
      <c r="I57" s="7" t="str">
        <f>IFERROR(__xludf.DUMMYFUNCTION("""COMPUTED_VALUE"""),"Functional")</f>
        <v>Functional</v>
      </c>
      <c r="J57" s="7" t="str">
        <f>IFERROR(__xludf.DUMMYFUNCTION("""COMPUTED_VALUE"""),"")</f>
        <v/>
      </c>
      <c r="K57" s="7" t="str">
        <f>IFERROR(__xludf.DUMMYFUNCTION("""COMPUTED_VALUE"""),"Verify that error message is displaying after click on Save button, if user is not selecting the Questions depends on field data.")</f>
        <v>Verify that error message is displaying after click on Save button, if user is not selecting the Questions depends on field data.</v>
      </c>
      <c r="L57" s="7" t="str">
        <f>IFERROR(__xludf.DUMMYFUNCTION("""COMPUTED_VALUE"""),"1. Go to manage form list.
2. Click on Modify form in Action.
3. Select any question type.
4. Click on Add Dependency.
5. Don't select the data in Question field.
6. Click on Ok button")</f>
        <v>1. Go to manage form list.
2. Click on Modify form in Action.
3. Select any question type.
4. Click on Add Dependency.
5. Don't select the data in Question field.
6. Click on Ok button</v>
      </c>
      <c r="M57" s="7" t="str">
        <f>IFERROR(__xludf.DUMMYFUNCTION("""COMPUTED_VALUE"""),"""Please select dependency for question"" message should be displayed.")</f>
        <v>"Please select dependency for question" message should be displayed.</v>
      </c>
      <c r="N57" s="7" t="str">
        <f>IFERROR(__xludf.DUMMYFUNCTION("""COMPUTED_VALUE"""),"")</f>
        <v/>
      </c>
      <c r="O57" s="7" t="str">
        <f>IFERROR(__xludf.DUMMYFUNCTION("""COMPUTED_VALUE"""),"Message ""Question depends on cannot be blank."" showing")</f>
        <v>Message "Question depends on cannot be blank." showing</v>
      </c>
      <c r="P57" s="7" t="str">
        <f>IFERROR(__xludf.DUMMYFUNCTION("""COMPUTED_VALUE"""),"Fail")</f>
        <v>Fail</v>
      </c>
      <c r="Q57" s="7" t="str">
        <f>IFERROR(__xludf.DUMMYFUNCTION("""COMPUTED_VALUE"""),"")</f>
        <v/>
      </c>
      <c r="R57" s="8" t="str">
        <f>IFERROR(__xludf.DUMMYFUNCTION("""COMPUTED_VALUE"""),"")</f>
        <v/>
      </c>
      <c r="S57" s="7" t="str">
        <f>IFERROR(__xludf.DUMMYFUNCTION("""COMPUTED_VALUE"""),"")</f>
        <v/>
      </c>
      <c r="T57" s="9" t="s">
        <v>10</v>
      </c>
      <c r="U57" s="7"/>
      <c r="V57" s="9" t="s">
        <v>11</v>
      </c>
      <c r="W57" s="9" t="s">
        <v>66</v>
      </c>
      <c r="X57" s="7"/>
      <c r="Y57" s="7"/>
      <c r="Z57" s="7"/>
    </row>
    <row r="58">
      <c r="A58" s="7" t="str">
        <f>IFERROR(__xludf.DUMMYFUNCTION("""COMPUTED_VALUE"""),"TCM_dKosh_General_SMF1_018_212")</f>
        <v>TCM_dKosh_General_SMF1_018_212</v>
      </c>
      <c r="B58" s="7" t="str">
        <f>IFERROR(__xludf.DUMMYFUNCTION("""COMPUTED_VALUE"""),"TP_dKosh_General_SMF1_018")</f>
        <v>TP_dKosh_General_SMF1_018</v>
      </c>
      <c r="C58" s="7">
        <f>IFERROR(__xludf.DUMMYFUNCTION("""COMPUTED_VALUE"""),212.0)</f>
        <v>212</v>
      </c>
      <c r="D58" s="7" t="str">
        <f>IFERROR(__xludf.DUMMYFUNCTION("""COMPUTED_VALUE"""),"Web, Mobile")</f>
        <v>Web, Mobile</v>
      </c>
      <c r="E58" s="7" t="str">
        <f>IFERROR(__xludf.DUMMYFUNCTION("""COMPUTED_VALUE"""),"Dependency")</f>
        <v>Dependency</v>
      </c>
      <c r="F58" s="7" t="str">
        <f>IFERROR(__xludf.DUMMYFUNCTION("""COMPUTED_VALUE"""),"Create")</f>
        <v>Create</v>
      </c>
      <c r="G58" s="7" t="str">
        <f>IFERROR(__xludf.DUMMYFUNCTION("""COMPUTED_VALUE"""),"M")</f>
        <v>M</v>
      </c>
      <c r="H58" s="7" t="str">
        <f>IFERROR(__xludf.DUMMYFUNCTION("""COMPUTED_VALUE"""),"Ankit")</f>
        <v>Ankit</v>
      </c>
      <c r="I58" s="7" t="str">
        <f>IFERROR(__xludf.DUMMYFUNCTION("""COMPUTED_VALUE"""),"Functional")</f>
        <v>Functional</v>
      </c>
      <c r="J58" s="7" t="str">
        <f>IFERROR(__xludf.DUMMYFUNCTION("""COMPUTED_VALUE"""),"")</f>
        <v/>
      </c>
      <c r="K58" s="7" t="str">
        <f>IFERROR(__xludf.DUMMYFUNCTION("""COMPUTED_VALUE"""),"Verify the data is saving after click on Ok button.")</f>
        <v>Verify the data is saving after click on Ok button.</v>
      </c>
      <c r="L58" s="7" t="str">
        <f>IFERROR(__xludf.DUMMYFUNCTION("""COMPUTED_VALUE"""),"1. Go to manage form list.
2. Click on Modify form in Action.
3. Select any question type.
4. Click on Dependency.
5. Fill the form.
6. Click on Ok.")</f>
        <v>1. Go to manage form list.
2. Click on Modify form in Action.
3. Select any question type.
4. Click on Dependency.
5. Fill the form.
6. Click on Ok.</v>
      </c>
      <c r="M58" s="7" t="str">
        <f>IFERROR(__xludf.DUMMYFUNCTION("""COMPUTED_VALUE"""),"Data should be saved.")</f>
        <v>Data should be saved.</v>
      </c>
      <c r="N58" s="7" t="str">
        <f>IFERROR(__xludf.DUMMYFUNCTION("""COMPUTED_VALUE"""),"")</f>
        <v/>
      </c>
      <c r="O58" s="7" t="str">
        <f>IFERROR(__xludf.DUMMYFUNCTION("""COMPUTED_VALUE"""),"Showing SQL error message.")</f>
        <v>Showing SQL error message.</v>
      </c>
      <c r="P58" s="7" t="str">
        <f>IFERROR(__xludf.DUMMYFUNCTION("""COMPUTED_VALUE"""),"Fail")</f>
        <v>Fail</v>
      </c>
      <c r="Q58" s="7" t="str">
        <f>IFERROR(__xludf.DUMMYFUNCTION("""COMPUTED_VALUE"""),"")</f>
        <v/>
      </c>
      <c r="R58" s="8" t="str">
        <f>IFERROR(__xludf.DUMMYFUNCTION("""COMPUTED_VALUE"""),"")</f>
        <v/>
      </c>
      <c r="S58" s="7" t="str">
        <f>IFERROR(__xludf.DUMMYFUNCTION("""COMPUTED_VALUE"""),"")</f>
        <v/>
      </c>
      <c r="T58" s="9" t="s">
        <v>10</v>
      </c>
      <c r="U58" s="9" t="s">
        <v>8</v>
      </c>
      <c r="V58" s="9" t="s">
        <v>13</v>
      </c>
      <c r="W58" s="9" t="s">
        <v>66</v>
      </c>
      <c r="X58" s="7"/>
      <c r="Y58" s="7"/>
      <c r="Z58" s="7"/>
    </row>
    <row r="59">
      <c r="A59" s="7" t="str">
        <f>IFERROR(__xludf.DUMMYFUNCTION("""COMPUTED_VALUE"""),"TCM_dKosh_General_SMF1_018_213")</f>
        <v>TCM_dKosh_General_SMF1_018_213</v>
      </c>
      <c r="B59" s="7" t="str">
        <f>IFERROR(__xludf.DUMMYFUNCTION("""COMPUTED_VALUE"""),"TP_dKosh_General_SMF1_018")</f>
        <v>TP_dKosh_General_SMF1_018</v>
      </c>
      <c r="C59" s="7">
        <f>IFERROR(__xludf.DUMMYFUNCTION("""COMPUTED_VALUE"""),213.0)</f>
        <v>213</v>
      </c>
      <c r="D59" s="7" t="str">
        <f>IFERROR(__xludf.DUMMYFUNCTION("""COMPUTED_VALUE"""),"Web, Mobile")</f>
        <v>Web, Mobile</v>
      </c>
      <c r="E59" s="7" t="str">
        <f>IFERROR(__xludf.DUMMYFUNCTION("""COMPUTED_VALUE"""),"Dependency")</f>
        <v>Dependency</v>
      </c>
      <c r="F59" s="7" t="str">
        <f>IFERROR(__xludf.DUMMYFUNCTION("""COMPUTED_VALUE"""),"Modify ")</f>
        <v>Modify </v>
      </c>
      <c r="G59" s="7" t="str">
        <f>IFERROR(__xludf.DUMMYFUNCTION("""COMPUTED_VALUE"""),"M")</f>
        <v>M</v>
      </c>
      <c r="H59" s="7" t="str">
        <f>IFERROR(__xludf.DUMMYFUNCTION("""COMPUTED_VALUE"""),"Ankit")</f>
        <v>Ankit</v>
      </c>
      <c r="I59" s="7" t="str">
        <f>IFERROR(__xludf.DUMMYFUNCTION("""COMPUTED_VALUE"""),"Functional")</f>
        <v>Functional</v>
      </c>
      <c r="J59" s="7" t="str">
        <f>IFERROR(__xludf.DUMMYFUNCTION("""COMPUTED_VALUE"""),"")</f>
        <v/>
      </c>
      <c r="K59" s="7" t="str">
        <f>IFERROR(__xludf.DUMMYFUNCTION("""COMPUTED_VALUE"""),"Verify saved data is displaying in Question Rely on pop up form if user click on edit.")</f>
        <v>Verify saved data is displaying in Question Rely on pop up form if user click on edit.</v>
      </c>
      <c r="L59" s="7" t="str">
        <f>IFERROR(__xludf.DUMMYFUNCTION("""COMPUTED_VALUE"""),"1. Go to manage form list.
2. Click on Modify form in Action.
3. Select any question type.
4. Click on Dependency.
5. Verify the saved data.")</f>
        <v>1. Go to manage form list.
2. Click on Modify form in Action.
3. Select any question type.
4. Click on Dependency.
5. Verify the saved data.</v>
      </c>
      <c r="M59" s="7" t="str">
        <f>IFERROR(__xludf.DUMMYFUNCTION("""COMPUTED_VALUE"""),"Saved data should be displayed.")</f>
        <v>Saved data should be displayed.</v>
      </c>
      <c r="N59" s="7" t="str">
        <f>IFERROR(__xludf.DUMMYFUNCTION("""COMPUTED_VALUE"""),"")</f>
        <v/>
      </c>
      <c r="O59" s="7" t="str">
        <f>IFERROR(__xludf.DUMMYFUNCTION("""COMPUTED_VALUE"""),"Showing SQL error message when save data")</f>
        <v>Showing SQL error message when save data</v>
      </c>
      <c r="P59" s="7" t="str">
        <f>IFERROR(__xludf.DUMMYFUNCTION("""COMPUTED_VALUE"""),"Fail")</f>
        <v>Fail</v>
      </c>
      <c r="Q59" s="7" t="str">
        <f>IFERROR(__xludf.DUMMYFUNCTION("""COMPUTED_VALUE"""),"")</f>
        <v/>
      </c>
      <c r="R59" s="8" t="str">
        <f>IFERROR(__xludf.DUMMYFUNCTION("""COMPUTED_VALUE"""),"")</f>
        <v/>
      </c>
      <c r="S59" s="7" t="str">
        <f>IFERROR(__xludf.DUMMYFUNCTION("""COMPUTED_VALUE"""),"")</f>
        <v/>
      </c>
      <c r="T59" s="9" t="s">
        <v>10</v>
      </c>
      <c r="U59" s="9" t="s">
        <v>8</v>
      </c>
      <c r="V59" s="9" t="s">
        <v>13</v>
      </c>
      <c r="W59" s="9" t="s">
        <v>66</v>
      </c>
      <c r="X59" s="7"/>
      <c r="Y59" s="7"/>
      <c r="Z59" s="7"/>
    </row>
    <row r="60">
      <c r="A60" s="7" t="str">
        <f>IFERROR(__xludf.DUMMYFUNCTION("""COMPUTED_VALUE"""),"TCM_dKosh_General_SMF1_018_214")</f>
        <v>TCM_dKosh_General_SMF1_018_214</v>
      </c>
      <c r="B60" s="7" t="str">
        <f>IFERROR(__xludf.DUMMYFUNCTION("""COMPUTED_VALUE"""),"TP_dKosh_General_SMF1_018")</f>
        <v>TP_dKosh_General_SMF1_018</v>
      </c>
      <c r="C60" s="7">
        <f>IFERROR(__xludf.DUMMYFUNCTION("""COMPUTED_VALUE"""),214.0)</f>
        <v>214</v>
      </c>
      <c r="D60" s="7" t="str">
        <f>IFERROR(__xludf.DUMMYFUNCTION("""COMPUTED_VALUE"""),"Web, Mobile")</f>
        <v>Web, Mobile</v>
      </c>
      <c r="E60" s="7" t="str">
        <f>IFERROR(__xludf.DUMMYFUNCTION("""COMPUTED_VALUE"""),"Dependency")</f>
        <v>Dependency</v>
      </c>
      <c r="F60" s="7" t="str">
        <f>IFERROR(__xludf.DUMMYFUNCTION("""COMPUTED_VALUE"""),"Modify ")</f>
        <v>Modify </v>
      </c>
      <c r="G60" s="7" t="str">
        <f>IFERROR(__xludf.DUMMYFUNCTION("""COMPUTED_VALUE"""),"M")</f>
        <v>M</v>
      </c>
      <c r="H60" s="7" t="str">
        <f>IFERROR(__xludf.DUMMYFUNCTION("""COMPUTED_VALUE"""),"Ankit")</f>
        <v>Ankit</v>
      </c>
      <c r="I60" s="7" t="str">
        <f>IFERROR(__xludf.DUMMYFUNCTION("""COMPUTED_VALUE"""),"Functional")</f>
        <v>Functional</v>
      </c>
      <c r="J60" s="7" t="str">
        <f>IFERROR(__xludf.DUMMYFUNCTION("""COMPUTED_VALUE"""),"")</f>
        <v/>
      </c>
      <c r="K60" s="7" t="str">
        <f>IFERROR(__xludf.DUMMYFUNCTION("""COMPUTED_VALUE"""),"Verify the question dependecy is modify if user change this.")</f>
        <v>Verify the question dependecy is modify if user change this.</v>
      </c>
      <c r="L60" s="7" t="str">
        <f>IFERROR(__xludf.DUMMYFUNCTION("""COMPUTED_VALUE"""),"1. Go to manage form list.
2. Click on Modify form in Action.
3. Select any question type.
4. Click on Dependency.
5. Modify the data
6. Save the form.")</f>
        <v>1. Go to manage form list.
2. Click on Modify form in Action.
3. Select any question type.
4. Click on Dependency.
5. Modify the data
6. Save the form.</v>
      </c>
      <c r="M60" s="7" t="str">
        <f>IFERROR(__xludf.DUMMYFUNCTION("""COMPUTED_VALUE"""),"Question should be changed.")</f>
        <v>Question should be changed.</v>
      </c>
      <c r="N60" s="7" t="str">
        <f>IFERROR(__xludf.DUMMYFUNCTION("""COMPUTED_VALUE"""),"")</f>
        <v/>
      </c>
      <c r="O60" s="7" t="str">
        <f>IFERROR(__xludf.DUMMYFUNCTION("""COMPUTED_VALUE"""),"Data not saved for first time")</f>
        <v>Data not saved for first time</v>
      </c>
      <c r="P60" s="7" t="str">
        <f>IFERROR(__xludf.DUMMYFUNCTION("""COMPUTED_VALUE"""),"Fail")</f>
        <v>Fail</v>
      </c>
      <c r="Q60" s="7" t="str">
        <f>IFERROR(__xludf.DUMMYFUNCTION("""COMPUTED_VALUE"""),"")</f>
        <v/>
      </c>
      <c r="R60" s="8" t="str">
        <f>IFERROR(__xludf.DUMMYFUNCTION("""COMPUTED_VALUE"""),"")</f>
        <v/>
      </c>
      <c r="S60" s="7" t="str">
        <f>IFERROR(__xludf.DUMMYFUNCTION("""COMPUTED_VALUE"""),"")</f>
        <v/>
      </c>
      <c r="T60" s="7"/>
      <c r="U60" s="9" t="s">
        <v>82</v>
      </c>
      <c r="V60" s="9" t="s">
        <v>8</v>
      </c>
      <c r="W60" s="9" t="s">
        <v>66</v>
      </c>
      <c r="X60" s="7"/>
      <c r="Y60" s="7"/>
      <c r="Z60" s="7"/>
    </row>
    <row r="61">
      <c r="A61" s="7" t="str">
        <f>IFERROR(__xludf.DUMMYFUNCTION("""COMPUTED_VALUE"""),"TCM_dKosh_General_SMF1_018_215")</f>
        <v>TCM_dKosh_General_SMF1_018_215</v>
      </c>
      <c r="B61" s="7" t="str">
        <f>IFERROR(__xludf.DUMMYFUNCTION("""COMPUTED_VALUE"""),"TP_dKosh_General_SMF1_018")</f>
        <v>TP_dKosh_General_SMF1_018</v>
      </c>
      <c r="C61" s="7">
        <f>IFERROR(__xludf.DUMMYFUNCTION("""COMPUTED_VALUE"""),215.0)</f>
        <v>215</v>
      </c>
      <c r="D61" s="7" t="str">
        <f>IFERROR(__xludf.DUMMYFUNCTION("""COMPUTED_VALUE"""),"Web, Mobile")</f>
        <v>Web, Mobile</v>
      </c>
      <c r="E61" s="7" t="str">
        <f>IFERROR(__xludf.DUMMYFUNCTION("""COMPUTED_VALUE"""),"Dependency")</f>
        <v>Dependency</v>
      </c>
      <c r="F61" s="7" t="str">
        <f>IFERROR(__xludf.DUMMYFUNCTION("""COMPUTED_VALUE"""),"Modify ")</f>
        <v>Modify </v>
      </c>
      <c r="G61" s="7" t="str">
        <f>IFERROR(__xludf.DUMMYFUNCTION("""COMPUTED_VALUE"""),"M")</f>
        <v>M</v>
      </c>
      <c r="H61" s="7" t="str">
        <f>IFERROR(__xludf.DUMMYFUNCTION("""COMPUTED_VALUE"""),"Ankit")</f>
        <v>Ankit</v>
      </c>
      <c r="I61" s="7" t="str">
        <f>IFERROR(__xludf.DUMMYFUNCTION("""COMPUTED_VALUE"""),"Functional")</f>
        <v>Functional</v>
      </c>
      <c r="J61" s="7" t="str">
        <f>IFERROR(__xludf.DUMMYFUNCTION("""COMPUTED_VALUE"""),"")</f>
        <v/>
      </c>
      <c r="K61" s="7" t="str">
        <f>IFERROR(__xludf.DUMMYFUNCTION("""COMPUTED_VALUE"""),"Verify the confirmation message is asked before deleting the data.")</f>
        <v>Verify the confirmation message is asked before deleting the data.</v>
      </c>
      <c r="L61" s="7" t="str">
        <f>IFERROR(__xludf.DUMMYFUNCTION("""COMPUTED_VALUE"""),"1. Go to manage form list.
2. Click on Modify form in Action.
3. Select any question type.
4. Click on Dependency.
5. Delete the data
6. Save the form.")</f>
        <v>1. Go to manage form list.
2. Click on Modify form in Action.
3. Select any question type.
4. Click on Dependency.
5. Delete the data
6. Save the form.</v>
      </c>
      <c r="M61" s="7" t="str">
        <f>IFERROR(__xludf.DUMMYFUNCTION("""COMPUTED_VALUE"""),"Some confimation message should be asked before delete.")</f>
        <v>Some confimation message should be asked before delete.</v>
      </c>
      <c r="N61" s="7" t="str">
        <f>IFERROR(__xludf.DUMMYFUNCTION("""COMPUTED_VALUE"""),"")</f>
        <v/>
      </c>
      <c r="O61" s="7" t="str">
        <f>IFERROR(__xludf.DUMMYFUNCTION("""COMPUTED_VALUE"""),"Data not saved for first time")</f>
        <v>Data not saved for first time</v>
      </c>
      <c r="P61" s="7" t="str">
        <f>IFERROR(__xludf.DUMMYFUNCTION("""COMPUTED_VALUE"""),"Fail")</f>
        <v>Fail</v>
      </c>
      <c r="Q61" s="7" t="str">
        <f>IFERROR(__xludf.DUMMYFUNCTION("""COMPUTED_VALUE"""),"")</f>
        <v/>
      </c>
      <c r="R61" s="8" t="str">
        <f>IFERROR(__xludf.DUMMYFUNCTION("""COMPUTED_VALUE"""),"")</f>
        <v/>
      </c>
      <c r="S61" s="7" t="str">
        <f>IFERROR(__xludf.DUMMYFUNCTION("""COMPUTED_VALUE"""),"")</f>
        <v/>
      </c>
      <c r="T61" s="9" t="s">
        <v>67</v>
      </c>
      <c r="U61" s="9" t="s">
        <v>8</v>
      </c>
      <c r="V61" s="9" t="s">
        <v>13</v>
      </c>
      <c r="W61" s="9" t="s">
        <v>66</v>
      </c>
      <c r="X61" s="7"/>
      <c r="Y61" s="7"/>
      <c r="Z61" s="7"/>
    </row>
    <row r="62">
      <c r="A62" s="7" t="str">
        <f>IFERROR(__xludf.DUMMYFUNCTION("""COMPUTED_VALUE"""),"TCM_dKosh_General_SMF1_018_217")</f>
        <v>TCM_dKosh_General_SMF1_018_217</v>
      </c>
      <c r="B62" s="7" t="str">
        <f>IFERROR(__xludf.DUMMYFUNCTION("""COMPUTED_VALUE"""),"TP_dKosh_General_SMF1_018")</f>
        <v>TP_dKosh_General_SMF1_018</v>
      </c>
      <c r="C62" s="7">
        <f>IFERROR(__xludf.DUMMYFUNCTION("""COMPUTED_VALUE"""),217.0)</f>
        <v>217</v>
      </c>
      <c r="D62" s="7" t="str">
        <f>IFERROR(__xludf.DUMMYFUNCTION("""COMPUTED_VALUE"""),"Web, Mobile")</f>
        <v>Web, Mobile</v>
      </c>
      <c r="E62" s="7" t="str">
        <f>IFERROR(__xludf.DUMMYFUNCTION("""COMPUTED_VALUE"""),"Dependency")</f>
        <v>Dependency</v>
      </c>
      <c r="F62" s="7" t="str">
        <f>IFERROR(__xludf.DUMMYFUNCTION("""COMPUTED_VALUE"""),"Modify ")</f>
        <v>Modify </v>
      </c>
      <c r="G62" s="7" t="str">
        <f>IFERROR(__xludf.DUMMYFUNCTION("""COMPUTED_VALUE"""),"M")</f>
        <v>M</v>
      </c>
      <c r="H62" s="7" t="str">
        <f>IFERROR(__xludf.DUMMYFUNCTION("""COMPUTED_VALUE"""),"Jaikishan")</f>
        <v>Jaikishan</v>
      </c>
      <c r="I62" s="7" t="str">
        <f>IFERROR(__xludf.DUMMYFUNCTION("""COMPUTED_VALUE"""),"Functional")</f>
        <v>Functional</v>
      </c>
      <c r="J62" s="7" t="str">
        <f>IFERROR(__xludf.DUMMYFUNCTION("""COMPUTED_VALUE"""),"")</f>
        <v/>
      </c>
      <c r="K62" s="7" t="str">
        <f>IFERROR(__xludf.DUMMYFUNCTION("""COMPUTED_VALUE"""),"Verify, Question data in dropdown when select first another section and then change to another section")</f>
        <v>Verify, Question data in dropdown when select first another section and then change to another section</v>
      </c>
      <c r="L62" s="7" t="str">
        <f>IFERROR(__xludf.DUMMYFUNCTION("""COMPUTED_VALUE"""),"1. Go to manage form list.
2. Click on Modify form in Action.
3. Select any question type.
4. Click on Dependency.
5. Check data in question dropdown
6. Save the form")</f>
        <v>1. Go to manage form list.
2. Click on Modify form in Action.
3. Select any question type.
4. Click on Dependency.
5. Check data in question dropdown
6. Save the form</v>
      </c>
      <c r="M62" s="7" t="str">
        <f>IFERROR(__xludf.DUMMYFUNCTION("""COMPUTED_VALUE"""),"Data should be changed according to question in that section.")</f>
        <v>Data should be changed according to question in that section.</v>
      </c>
      <c r="N62" s="7" t="str">
        <f>IFERROR(__xludf.DUMMYFUNCTION("""COMPUTED_VALUE"""),"")</f>
        <v/>
      </c>
      <c r="O62" s="7" t="str">
        <f>IFERROR(__xludf.DUMMYFUNCTION("""COMPUTED_VALUE"""),"Data should not changed for empty section")</f>
        <v>Data should not changed for empty section</v>
      </c>
      <c r="P62" s="7" t="str">
        <f>IFERROR(__xludf.DUMMYFUNCTION("""COMPUTED_VALUE"""),"Fail")</f>
        <v>Fail</v>
      </c>
      <c r="Q62" s="7" t="str">
        <f>IFERROR(__xludf.DUMMYFUNCTION("""COMPUTED_VALUE"""),"")</f>
        <v/>
      </c>
      <c r="R62" s="8" t="str">
        <f>IFERROR(__xludf.DUMMYFUNCTION("""COMPUTED_VALUE"""),"")</f>
        <v/>
      </c>
      <c r="S62" s="7" t="str">
        <f>IFERROR(__xludf.DUMMYFUNCTION("""COMPUTED_VALUE"""),"")</f>
        <v/>
      </c>
      <c r="T62" s="9" t="s">
        <v>67</v>
      </c>
      <c r="U62" s="7"/>
      <c r="V62" s="9" t="s">
        <v>13</v>
      </c>
      <c r="W62" s="9" t="s">
        <v>66</v>
      </c>
      <c r="X62" s="7"/>
      <c r="Y62" s="7"/>
      <c r="Z62" s="7"/>
    </row>
    <row r="63">
      <c r="A63" s="7" t="str">
        <f>IFERROR(__xludf.DUMMYFUNCTION("""COMPUTED_VALUE"""),"TCM_dKosh_General_SMF1_018_218")</f>
        <v>TCM_dKosh_General_SMF1_018_218</v>
      </c>
      <c r="B63" s="7" t="str">
        <f>IFERROR(__xludf.DUMMYFUNCTION("""COMPUTED_VALUE"""),"TP_dKosh_General_SMF1_018")</f>
        <v>TP_dKosh_General_SMF1_018</v>
      </c>
      <c r="C63" s="7">
        <f>IFERROR(__xludf.DUMMYFUNCTION("""COMPUTED_VALUE"""),218.0)</f>
        <v>218</v>
      </c>
      <c r="D63" s="7" t="str">
        <f>IFERROR(__xludf.DUMMYFUNCTION("""COMPUTED_VALUE"""),"Web, Mobile")</f>
        <v>Web, Mobile</v>
      </c>
      <c r="E63" s="7" t="str">
        <f>IFERROR(__xludf.DUMMYFUNCTION("""COMPUTED_VALUE"""),"Dependency")</f>
        <v>Dependency</v>
      </c>
      <c r="F63" s="7" t="str">
        <f>IFERROR(__xludf.DUMMYFUNCTION("""COMPUTED_VALUE"""),"Modify ")</f>
        <v>Modify </v>
      </c>
      <c r="G63" s="7" t="str">
        <f>IFERROR(__xludf.DUMMYFUNCTION("""COMPUTED_VALUE"""),"M")</f>
        <v>M</v>
      </c>
      <c r="H63" s="7" t="str">
        <f>IFERROR(__xludf.DUMMYFUNCTION("""COMPUTED_VALUE"""),"Jaikishan")</f>
        <v>Jaikishan</v>
      </c>
      <c r="I63" s="7" t="str">
        <f>IFERROR(__xludf.DUMMYFUNCTION("""COMPUTED_VALUE"""),"Functional")</f>
        <v>Functional</v>
      </c>
      <c r="J63" s="7" t="str">
        <f>IFERROR(__xludf.DUMMYFUNCTION("""COMPUTED_VALUE"""),"")</f>
        <v/>
      </c>
      <c r="K63" s="7" t="str">
        <f>IFERROR(__xludf.DUMMYFUNCTION("""COMPUTED_VALUE"""),"Verify, Response field Control Type when question type as Paragraph,short text,number, File scale, Date, Time, Email, URl")</f>
        <v>Verify, Response field Control Type when question type as Paragraph,short text,number, File scale, Date, Time, Email, URl</v>
      </c>
      <c r="L63" s="7" t="str">
        <f>IFERROR(__xludf.DUMMYFUNCTION("""COMPUTED_VALUE"""),"1. Go to manage form list.
2. Click on Modify form in Action.
3. Select any question type.
4. Click on Dependency.
5. Check response field
")</f>
        <v>1. Go to manage form list.
2. Click on Modify form in Action.
3. Select any question type.
4. Click on Dependency.
5. Check response field
</v>
      </c>
      <c r="M63" s="7" t="str">
        <f>IFERROR(__xludf.DUMMYFUNCTION("""COMPUTED_VALUE"""),"Response field Control type should be text box")</f>
        <v>Response field Control type should be text box</v>
      </c>
      <c r="N63" s="7" t="str">
        <f>IFERROR(__xludf.DUMMYFUNCTION("""COMPUTED_VALUE"""),"")</f>
        <v/>
      </c>
      <c r="O63" s="7" t="str">
        <f>IFERROR(__xludf.DUMMYFUNCTION("""COMPUTED_VALUE"""),"Not showing question related to that question type")</f>
        <v>Not showing question related to that question type</v>
      </c>
      <c r="P63" s="7" t="str">
        <f>IFERROR(__xludf.DUMMYFUNCTION("""COMPUTED_VALUE"""),"Fail")</f>
        <v>Fail</v>
      </c>
      <c r="Q63" s="7" t="str">
        <f>IFERROR(__xludf.DUMMYFUNCTION("""COMPUTED_VALUE"""),"")</f>
        <v/>
      </c>
      <c r="R63" s="8" t="str">
        <f>IFERROR(__xludf.DUMMYFUNCTION("""COMPUTED_VALUE"""),"")</f>
        <v/>
      </c>
      <c r="S63" s="7" t="str">
        <f>IFERROR(__xludf.DUMMYFUNCTION("""COMPUTED_VALUE"""),"")</f>
        <v/>
      </c>
      <c r="T63" s="9" t="s">
        <v>67</v>
      </c>
      <c r="U63" s="9" t="s">
        <v>8</v>
      </c>
      <c r="V63" s="9" t="s">
        <v>11</v>
      </c>
      <c r="W63" s="9" t="s">
        <v>66</v>
      </c>
      <c r="X63" s="7"/>
      <c r="Y63" s="7"/>
      <c r="Z63" s="7"/>
    </row>
    <row r="64">
      <c r="A64" s="7" t="str">
        <f>IFERROR(__xludf.DUMMYFUNCTION("""COMPUTED_VALUE"""),"TCM_dKosh_General_SMF1_019_239")</f>
        <v>TCM_dKosh_General_SMF1_019_239</v>
      </c>
      <c r="B64" s="7" t="str">
        <f>IFERROR(__xludf.DUMMYFUNCTION("""COMPUTED_VALUE"""),"TP_dKosh_General_SMF1_019")</f>
        <v>TP_dKosh_General_SMF1_019</v>
      </c>
      <c r="C64" s="7">
        <f>IFERROR(__xludf.DUMMYFUNCTION("""COMPUTED_VALUE"""),239.0)</f>
        <v>239</v>
      </c>
      <c r="D64" s="7" t="str">
        <f>IFERROR(__xludf.DUMMYFUNCTION("""COMPUTED_VALUE"""),"Web, Mobile")</f>
        <v>Web, Mobile</v>
      </c>
      <c r="E64" s="7" t="str">
        <f>IFERROR(__xludf.DUMMYFUNCTION("""COMPUTED_VALUE"""),"Answer Key")</f>
        <v>Answer Key</v>
      </c>
      <c r="F64" s="7" t="str">
        <f>IFERROR(__xludf.DUMMYFUNCTION("""COMPUTED_VALUE"""),"Create")</f>
        <v>Create</v>
      </c>
      <c r="G64" s="7" t="str">
        <f>IFERROR(__xludf.DUMMYFUNCTION("""COMPUTED_VALUE"""),"M")</f>
        <v>M</v>
      </c>
      <c r="H64" s="7" t="str">
        <f>IFERROR(__xludf.DUMMYFUNCTION("""COMPUTED_VALUE"""),"Ankit")</f>
        <v>Ankit</v>
      </c>
      <c r="I64" s="7" t="str">
        <f>IFERROR(__xludf.DUMMYFUNCTION("""COMPUTED_VALUE"""),"UI")</f>
        <v>UI</v>
      </c>
      <c r="J64" s="7" t="str">
        <f>IFERROR(__xludf.DUMMYFUNCTION("""COMPUTED_VALUE"""),"")</f>
        <v/>
      </c>
      <c r="K64" s="7" t="str">
        <f>IFERROR(__xludf.DUMMYFUNCTION("""COMPUTED_VALUE"""),"Verify that Select answer field should enabled when question type is Radio, Checkbox, Dropdown and Auto complete..")</f>
        <v>Verify that Select answer field should enabled when question type is Radio, Checkbox, Dropdown and Auto complete..</v>
      </c>
      <c r="L64" s="7" t="str">
        <f>IFERROR(__xludf.DUMMYFUNCTION("""COMPUTED_VALUE"""),"1. Go to manage form list.
2. Click on Modify form in Action.
3. Select any question as Choice source type.
4. Click on Answer key.
5. Verify the field is displaying")</f>
        <v>1. Go to manage form list.
2. Click on Modify form in Action.
3. Select any question as Choice source type.
4. Click on Answer key.
5. Verify the field is displaying</v>
      </c>
      <c r="M64" s="7" t="str">
        <f>IFERROR(__xludf.DUMMYFUNCTION("""COMPUTED_VALUE"""),"Field should be enabled when question type is Radio, Checkbox, Dropdown and Auto complete.")</f>
        <v>Field should be enabled when question type is Radio, Checkbox, Dropdown and Auto complete.</v>
      </c>
      <c r="N64" s="7" t="str">
        <f>IFERROR(__xludf.DUMMYFUNCTION("""COMPUTED_VALUE"""),"")</f>
        <v/>
      </c>
      <c r="O64" s="7" t="str">
        <f>IFERROR(__xludf.DUMMYFUNCTION("""COMPUTED_VALUE"""),"Not showing Second dropdown")</f>
        <v>Not showing Second dropdown</v>
      </c>
      <c r="P64" s="7" t="str">
        <f>IFERROR(__xludf.DUMMYFUNCTION("""COMPUTED_VALUE"""),"Fail")</f>
        <v>Fail</v>
      </c>
      <c r="Q64" s="7" t="str">
        <f>IFERROR(__xludf.DUMMYFUNCTION("""COMPUTED_VALUE"""),"")</f>
        <v/>
      </c>
      <c r="R64" s="8" t="str">
        <f>IFERROR(__xludf.DUMMYFUNCTION("""COMPUTED_VALUE"""),"")</f>
        <v/>
      </c>
      <c r="S64" s="7" t="str">
        <f>IFERROR(__xludf.DUMMYFUNCTION("""COMPUTED_VALUE"""),"")</f>
        <v/>
      </c>
      <c r="T64" s="9" t="s">
        <v>10</v>
      </c>
      <c r="U64" s="9" t="s">
        <v>8</v>
      </c>
      <c r="V64" s="9" t="s">
        <v>11</v>
      </c>
      <c r="W64" s="9" t="s">
        <v>66</v>
      </c>
      <c r="X64" s="7"/>
      <c r="Y64" s="7"/>
      <c r="Z64" s="7"/>
    </row>
    <row r="65">
      <c r="A65" s="7" t="str">
        <f>IFERROR(__xludf.DUMMYFUNCTION("""COMPUTED_VALUE"""),"TCM_dKosh_General_SMF1_019_240")</f>
        <v>TCM_dKosh_General_SMF1_019_240</v>
      </c>
      <c r="B65" s="7" t="str">
        <f>IFERROR(__xludf.DUMMYFUNCTION("""COMPUTED_VALUE"""),"TP_dKosh_General_SMF1_019")</f>
        <v>TP_dKosh_General_SMF1_019</v>
      </c>
      <c r="C65" s="7">
        <f>IFERROR(__xludf.DUMMYFUNCTION("""COMPUTED_VALUE"""),240.0)</f>
        <v>240</v>
      </c>
      <c r="D65" s="7" t="str">
        <f>IFERROR(__xludf.DUMMYFUNCTION("""COMPUTED_VALUE"""),"Web, Mobile")</f>
        <v>Web, Mobile</v>
      </c>
      <c r="E65" s="7" t="str">
        <f>IFERROR(__xludf.DUMMYFUNCTION("""COMPUTED_VALUE"""),"Answer Key")</f>
        <v>Answer Key</v>
      </c>
      <c r="F65" s="7" t="str">
        <f>IFERROR(__xludf.DUMMYFUNCTION("""COMPUTED_VALUE"""),"Create")</f>
        <v>Create</v>
      </c>
      <c r="G65" s="7" t="str">
        <f>IFERROR(__xludf.DUMMYFUNCTION("""COMPUTED_VALUE"""),"M")</f>
        <v>M</v>
      </c>
      <c r="H65" s="7" t="str">
        <f>IFERROR(__xludf.DUMMYFUNCTION("""COMPUTED_VALUE"""),"Ankit")</f>
        <v>Ankit</v>
      </c>
      <c r="I65" s="7" t="str">
        <f>IFERROR(__xludf.DUMMYFUNCTION("""COMPUTED_VALUE"""),"UI")</f>
        <v>UI</v>
      </c>
      <c r="J65" s="7" t="str">
        <f>IFERROR(__xludf.DUMMYFUNCTION("""COMPUTED_VALUE"""),"")</f>
        <v/>
      </c>
      <c r="K65" s="7" t="str">
        <f>IFERROR(__xludf.DUMMYFUNCTION("""COMPUTED_VALUE"""),"Verify the Caption, Placeholder of the Select answer field.")</f>
        <v>Verify the Caption, Placeholder of the Select answer field.</v>
      </c>
      <c r="L65" s="7" t="str">
        <f>IFERROR(__xludf.DUMMYFUNCTION("""COMPUTED_VALUE"""),"1. Go to manage form list.
2. Click on Modify form in Action.
3. Select any question.
4. Click on Answer key.
5. Verify the caption and field")</f>
        <v>1. Go to manage form list.
2. Click on Modify form in Action.
3. Select any question.
4. Click on Answer key.
5. Verify the caption and field</v>
      </c>
      <c r="M65" s="7" t="str">
        <f>IFERROR(__xludf.DUMMYFUNCTION("""COMPUTED_VALUE"""),"Caption: Answer
Place holder: Select answer
Control type: dropdown")</f>
        <v>Caption: Answer
Place holder: Select answer
Control type: dropdown</v>
      </c>
      <c r="N65" s="7" t="str">
        <f>IFERROR(__xludf.DUMMYFUNCTION("""COMPUTED_VALUE"""),"")</f>
        <v/>
      </c>
      <c r="O65" s="7" t="str">
        <f>IFERROR(__xludf.DUMMYFUNCTION("""COMPUTED_VALUE"""),"Placeholder not matched")</f>
        <v>Placeholder not matched</v>
      </c>
      <c r="P65" s="7" t="str">
        <f>IFERROR(__xludf.DUMMYFUNCTION("""COMPUTED_VALUE"""),"Fail")</f>
        <v>Fail</v>
      </c>
      <c r="Q65" s="7" t="str">
        <f>IFERROR(__xludf.DUMMYFUNCTION("""COMPUTED_VALUE"""),"")</f>
        <v/>
      </c>
      <c r="R65" s="8" t="str">
        <f>IFERROR(__xludf.DUMMYFUNCTION("""COMPUTED_VALUE"""),"")</f>
        <v/>
      </c>
      <c r="S65" s="7" t="str">
        <f>IFERROR(__xludf.DUMMYFUNCTION("""COMPUTED_VALUE"""),"")</f>
        <v/>
      </c>
      <c r="T65" s="9" t="s">
        <v>8</v>
      </c>
      <c r="U65" s="7"/>
      <c r="V65" s="9" t="s">
        <v>72</v>
      </c>
      <c r="W65" s="9" t="s">
        <v>66</v>
      </c>
      <c r="X65" s="7"/>
      <c r="Y65" s="7"/>
      <c r="Z65" s="7"/>
    </row>
    <row r="66">
      <c r="A66" s="7" t="str">
        <f>IFERROR(__xludf.DUMMYFUNCTION("""COMPUTED_VALUE"""),"TCM_dKosh_General_SMF1_019_243")</f>
        <v>TCM_dKosh_General_SMF1_019_243</v>
      </c>
      <c r="B66" s="7" t="str">
        <f>IFERROR(__xludf.DUMMYFUNCTION("""COMPUTED_VALUE"""),"TP_dKosh_General_SMF1_019")</f>
        <v>TP_dKosh_General_SMF1_019</v>
      </c>
      <c r="C66" s="7">
        <f>IFERROR(__xludf.DUMMYFUNCTION("""COMPUTED_VALUE"""),243.0)</f>
        <v>243</v>
      </c>
      <c r="D66" s="7" t="str">
        <f>IFERROR(__xludf.DUMMYFUNCTION("""COMPUTED_VALUE"""),"Web, Mobile")</f>
        <v>Web, Mobile</v>
      </c>
      <c r="E66" s="7" t="str">
        <f>IFERROR(__xludf.DUMMYFUNCTION("""COMPUTED_VALUE"""),"Answer Key")</f>
        <v>Answer Key</v>
      </c>
      <c r="F66" s="7" t="str">
        <f>IFERROR(__xludf.DUMMYFUNCTION("""COMPUTED_VALUE"""),"Create")</f>
        <v>Create</v>
      </c>
      <c r="G66" s="7" t="str">
        <f>IFERROR(__xludf.DUMMYFUNCTION("""COMPUTED_VALUE"""),"M")</f>
        <v>M</v>
      </c>
      <c r="H66" s="7" t="str">
        <f>IFERROR(__xludf.DUMMYFUNCTION("""COMPUTED_VALUE"""),"Ankit")</f>
        <v>Ankit</v>
      </c>
      <c r="I66" s="7" t="str">
        <f>IFERROR(__xludf.DUMMYFUNCTION("""COMPUTED_VALUE"""),"Validation")</f>
        <v>Validation</v>
      </c>
      <c r="J66" s="7" t="str">
        <f>IFERROR(__xludf.DUMMYFUNCTION("""COMPUTED_VALUE"""),"")</f>
        <v/>
      </c>
      <c r="K66" s="7" t="str">
        <f>IFERROR(__xludf.DUMMYFUNCTION("""COMPUTED_VALUE"""),"Verify that user can select only one option either Enter answer key or Select answer.")</f>
        <v>Verify that user can select only one option either Enter answer key or Select answer.</v>
      </c>
      <c r="L66" s="7" t="str">
        <f>IFERROR(__xludf.DUMMYFUNCTION("""COMPUTED_VALUE"""),"1. Go to manage form list.
2. Click on Modify form in Action.
3. Select any question.
4. Click on Answer key.
5. User can select only one option in Answer.")</f>
        <v>1. Go to manage form list.
2. Click on Modify form in Action.
3. Select any question.
4. Click on Answer key.
5. User can select only one option in Answer.</v>
      </c>
      <c r="M66" s="7" t="str">
        <f>IFERROR(__xludf.DUMMYFUNCTION("""COMPUTED_VALUE"""),"User can select only one option if, question type is Radio, Checkbox, Dropdown and Auto complete.")</f>
        <v>User can select only one option if, question type is Radio, Checkbox, Dropdown and Auto complete.</v>
      </c>
      <c r="N66" s="7" t="str">
        <f>IFERROR(__xludf.DUMMYFUNCTION("""COMPUTED_VALUE"""),"")</f>
        <v/>
      </c>
      <c r="O66" s="7" t="str">
        <f>IFERROR(__xludf.DUMMYFUNCTION("""COMPUTED_VALUE"""),"Only one field is showing")</f>
        <v>Only one field is showing</v>
      </c>
      <c r="P66" s="7" t="str">
        <f>IFERROR(__xludf.DUMMYFUNCTION("""COMPUTED_VALUE"""),"Fail")</f>
        <v>Fail</v>
      </c>
      <c r="Q66" s="7" t="str">
        <f>IFERROR(__xludf.DUMMYFUNCTION("""COMPUTED_VALUE"""),"")</f>
        <v/>
      </c>
      <c r="R66" s="8" t="str">
        <f>IFERROR(__xludf.DUMMYFUNCTION("""COMPUTED_VALUE"""),"")</f>
        <v/>
      </c>
      <c r="S66" s="7" t="str">
        <f>IFERROR(__xludf.DUMMYFUNCTION("""COMPUTED_VALUE"""),"")</f>
        <v/>
      </c>
      <c r="T66" s="9" t="s">
        <v>10</v>
      </c>
      <c r="U66" s="7"/>
      <c r="V66" s="9" t="s">
        <v>72</v>
      </c>
      <c r="W66" s="9" t="s">
        <v>66</v>
      </c>
      <c r="X66" s="7"/>
      <c r="Y66" s="7"/>
      <c r="Z66" s="7"/>
    </row>
    <row r="67">
      <c r="A67" s="7" t="str">
        <f>IFERROR(__xludf.DUMMYFUNCTION("""COMPUTED_VALUE"""),"TCM_dKosh_General_SMF1_019_244")</f>
        <v>TCM_dKosh_General_SMF1_019_244</v>
      </c>
      <c r="B67" s="7" t="str">
        <f>IFERROR(__xludf.DUMMYFUNCTION("""COMPUTED_VALUE"""),"TP_dKosh_General_SMF1_019")</f>
        <v>TP_dKosh_General_SMF1_019</v>
      </c>
      <c r="C67" s="7">
        <f>IFERROR(__xludf.DUMMYFUNCTION("""COMPUTED_VALUE"""),244.0)</f>
        <v>244</v>
      </c>
      <c r="D67" s="7" t="str">
        <f>IFERROR(__xludf.DUMMYFUNCTION("""COMPUTED_VALUE"""),"Web, Mobile")</f>
        <v>Web, Mobile</v>
      </c>
      <c r="E67" s="7" t="str">
        <f>IFERROR(__xludf.DUMMYFUNCTION("""COMPUTED_VALUE"""),"Answer Key")</f>
        <v>Answer Key</v>
      </c>
      <c r="F67" s="7" t="str">
        <f>IFERROR(__xludf.DUMMYFUNCTION("""COMPUTED_VALUE"""),"Create")</f>
        <v>Create</v>
      </c>
      <c r="G67" s="7" t="str">
        <f>IFERROR(__xludf.DUMMYFUNCTION("""COMPUTED_VALUE"""),"M")</f>
        <v>M</v>
      </c>
      <c r="H67" s="7" t="str">
        <f>IFERROR(__xludf.DUMMYFUNCTION("""COMPUTED_VALUE"""),"Ankit")</f>
        <v>Ankit</v>
      </c>
      <c r="I67" s="7" t="str">
        <f>IFERROR(__xludf.DUMMYFUNCTION("""COMPUTED_VALUE"""),"Validation")</f>
        <v>Validation</v>
      </c>
      <c r="J67" s="7" t="str">
        <f>IFERROR(__xludf.DUMMYFUNCTION("""COMPUTED_VALUE"""),"")</f>
        <v/>
      </c>
      <c r="K67" s="7" t="str">
        <f>IFERROR(__xludf.DUMMYFUNCTION("""COMPUTED_VALUE"""),"Verify that Enter answer key is auto selected.")</f>
        <v>Verify that Enter answer key is auto selected.</v>
      </c>
      <c r="L67" s="7" t="str">
        <f>IFERROR(__xludf.DUMMYFUNCTION("""COMPUTED_VALUE"""),"1. Go to manage form list.
2. Click on Modify form in Action.
3. Select any question.
4. Click on Answer key.
5. User can select only one option in Answer.")</f>
        <v>1. Go to manage form list.
2. Click on Modify form in Action.
3. Select any question.
4. Click on Answer key.
5. User can select only one option in Answer.</v>
      </c>
      <c r="M67" s="7" t="str">
        <f>IFERROR(__xludf.DUMMYFUNCTION("""COMPUTED_VALUE"""),"Field is auto selected if question type is not Radio, Checkbox, Dropdown and Auto complete.")</f>
        <v>Field is auto selected if question type is not Radio, Checkbox, Dropdown and Auto complete.</v>
      </c>
      <c r="N67" s="7" t="str">
        <f>IFERROR(__xludf.DUMMYFUNCTION("""COMPUTED_VALUE"""),"")</f>
        <v/>
      </c>
      <c r="O67" s="7" t="str">
        <f>IFERROR(__xludf.DUMMYFUNCTION("""COMPUTED_VALUE"""),"Field not autoselect, and showing error when save ""Correct Question Choice must be an integer.""")</f>
        <v>Field not autoselect, and showing error when save "Correct Question Choice must be an integer."</v>
      </c>
      <c r="P67" s="7" t="str">
        <f>IFERROR(__xludf.DUMMYFUNCTION("""COMPUTED_VALUE"""),"Fail")</f>
        <v>Fail</v>
      </c>
      <c r="Q67" s="7" t="str">
        <f>IFERROR(__xludf.DUMMYFUNCTION("""COMPUTED_VALUE"""),"")</f>
        <v/>
      </c>
      <c r="R67" s="8" t="str">
        <f>IFERROR(__xludf.DUMMYFUNCTION("""COMPUTED_VALUE"""),"")</f>
        <v/>
      </c>
      <c r="S67" s="7" t="str">
        <f>IFERROR(__xludf.DUMMYFUNCTION("""COMPUTED_VALUE"""),"")</f>
        <v/>
      </c>
      <c r="T67" s="7"/>
      <c r="U67" s="9" t="s">
        <v>83</v>
      </c>
      <c r="V67" s="9" t="s">
        <v>72</v>
      </c>
      <c r="W67" s="9" t="s">
        <v>66</v>
      </c>
      <c r="X67" s="7"/>
      <c r="Y67" s="7"/>
      <c r="Z67" s="7"/>
    </row>
    <row r="68">
      <c r="A68" s="7" t="str">
        <f>IFERROR(__xludf.DUMMYFUNCTION("""COMPUTED_VALUE"""),"TCM_dKosh_General_SMF1_019_246")</f>
        <v>TCM_dKosh_General_SMF1_019_246</v>
      </c>
      <c r="B68" s="7" t="str">
        <f>IFERROR(__xludf.DUMMYFUNCTION("""COMPUTED_VALUE"""),"TP_dKosh_General_SMF1_019")</f>
        <v>TP_dKosh_General_SMF1_019</v>
      </c>
      <c r="C68" s="7">
        <f>IFERROR(__xludf.DUMMYFUNCTION("""COMPUTED_VALUE"""),246.0)</f>
        <v>246</v>
      </c>
      <c r="D68" s="7" t="str">
        <f>IFERROR(__xludf.DUMMYFUNCTION("""COMPUTED_VALUE"""),"Web, Mobile")</f>
        <v>Web, Mobile</v>
      </c>
      <c r="E68" s="7" t="str">
        <f>IFERROR(__xludf.DUMMYFUNCTION("""COMPUTED_VALUE"""),"Answer Key")</f>
        <v>Answer Key</v>
      </c>
      <c r="F68" s="7" t="str">
        <f>IFERROR(__xludf.DUMMYFUNCTION("""COMPUTED_VALUE"""),"Create")</f>
        <v>Create</v>
      </c>
      <c r="G68" s="7" t="str">
        <f>IFERROR(__xludf.DUMMYFUNCTION("""COMPUTED_VALUE"""),"M")</f>
        <v>M</v>
      </c>
      <c r="H68" s="7" t="str">
        <f>IFERROR(__xludf.DUMMYFUNCTION("""COMPUTED_VALUE"""),"Ankit")</f>
        <v>Ankit</v>
      </c>
      <c r="I68" s="7" t="str">
        <f>IFERROR(__xludf.DUMMYFUNCTION("""COMPUTED_VALUE"""),"Validation")</f>
        <v>Validation</v>
      </c>
      <c r="J68" s="7" t="str">
        <f>IFERROR(__xludf.DUMMYFUNCTION("""COMPUTED_VALUE"""),"")</f>
        <v/>
      </c>
      <c r="K68" s="7" t="str">
        <f>IFERROR(__xludf.DUMMYFUNCTION("""COMPUTED_VALUE"""),"Verify Points field accepts which type of data.
")</f>
        <v>Verify Points field accepts which type of data.
</v>
      </c>
      <c r="L68" s="7" t="str">
        <f>IFERROR(__xludf.DUMMYFUNCTION("""COMPUTED_VALUE"""),"1. Go to manage form list.
2. Click on Modify form in Action.
3. Select any question.
4. Click on Answer key link.
5. Enter data in Points field.")</f>
        <v>1. Go to manage form list.
2. Click on Modify form in Action.
3. Select any question.
4. Click on Answer key link.
5. Enter data in Points field.</v>
      </c>
      <c r="M68" s="7" t="str">
        <f>IFERROR(__xludf.DUMMYFUNCTION("""COMPUTED_VALUE"""),"Should accept numbers, decimals only")</f>
        <v>Should accept numbers, decimals only</v>
      </c>
      <c r="N68" s="7" t="str">
        <f>IFERROR(__xludf.DUMMYFUNCTION("""COMPUTED_VALUE"""),"")</f>
        <v/>
      </c>
      <c r="O68" s="7" t="str">
        <f>IFERROR(__xludf.DUMMYFUNCTION("""COMPUTED_VALUE"""),"Not accept decimal number")</f>
        <v>Not accept decimal number</v>
      </c>
      <c r="P68" s="7" t="str">
        <f>IFERROR(__xludf.DUMMYFUNCTION("""COMPUTED_VALUE"""),"Fail")</f>
        <v>Fail</v>
      </c>
      <c r="Q68" s="7" t="str">
        <f>IFERROR(__xludf.DUMMYFUNCTION("""COMPUTED_VALUE"""),"")</f>
        <v/>
      </c>
      <c r="R68" s="8" t="str">
        <f>IFERROR(__xludf.DUMMYFUNCTION("""COMPUTED_VALUE"""),"")</f>
        <v/>
      </c>
      <c r="S68" s="7" t="str">
        <f>IFERROR(__xludf.DUMMYFUNCTION("""COMPUTED_VALUE"""),"")</f>
        <v/>
      </c>
      <c r="T68" s="9" t="s">
        <v>10</v>
      </c>
      <c r="U68" s="7"/>
      <c r="V68" s="9" t="s">
        <v>72</v>
      </c>
      <c r="W68" s="9" t="s">
        <v>66</v>
      </c>
      <c r="X68" s="7"/>
      <c r="Y68" s="7"/>
      <c r="Z68" s="7"/>
    </row>
    <row r="69">
      <c r="A69" s="7" t="str">
        <f>IFERROR(__xludf.DUMMYFUNCTION("""COMPUTED_VALUE"""),"TCM_dKosh_General_SMF1_019_249")</f>
        <v>TCM_dKosh_General_SMF1_019_249</v>
      </c>
      <c r="B69" s="7" t="str">
        <f>IFERROR(__xludf.DUMMYFUNCTION("""COMPUTED_VALUE"""),"TP_dKosh_General_SMF1_019")</f>
        <v>TP_dKosh_General_SMF1_019</v>
      </c>
      <c r="C69" s="7">
        <f>IFERROR(__xludf.DUMMYFUNCTION("""COMPUTED_VALUE"""),249.0)</f>
        <v>249</v>
      </c>
      <c r="D69" s="7" t="str">
        <f>IFERROR(__xludf.DUMMYFUNCTION("""COMPUTED_VALUE"""),"Web, Mobile")</f>
        <v>Web, Mobile</v>
      </c>
      <c r="E69" s="7" t="str">
        <f>IFERROR(__xludf.DUMMYFUNCTION("""COMPUTED_VALUE"""),"Answer Key")</f>
        <v>Answer Key</v>
      </c>
      <c r="F69" s="7" t="str">
        <f>IFERROR(__xludf.DUMMYFUNCTION("""COMPUTED_VALUE"""),"Create")</f>
        <v>Create</v>
      </c>
      <c r="G69" s="7" t="str">
        <f>IFERROR(__xludf.DUMMYFUNCTION("""COMPUTED_VALUE"""),"M")</f>
        <v>M</v>
      </c>
      <c r="H69" s="7" t="str">
        <f>IFERROR(__xludf.DUMMYFUNCTION("""COMPUTED_VALUE"""),"Ankit")</f>
        <v>Ankit</v>
      </c>
      <c r="I69" s="7" t="str">
        <f>IFERROR(__xludf.DUMMYFUNCTION("""COMPUTED_VALUE"""),"Validation")</f>
        <v>Validation</v>
      </c>
      <c r="J69" s="7" t="str">
        <f>IFERROR(__xludf.DUMMYFUNCTION("""COMPUTED_VALUE"""),"")</f>
        <v/>
      </c>
      <c r="K69" s="7" t="str">
        <f>IFERROR(__xludf.DUMMYFUNCTION("""COMPUTED_VALUE"""),"Verify, when select question type as radio, checkbox and click on Answer key radio.")</f>
        <v>Verify, when select question type as radio, checkbox and click on Answer key radio.</v>
      </c>
      <c r="L69" s="7" t="str">
        <f>IFERROR(__xludf.DUMMYFUNCTION("""COMPUTED_VALUE"""),"")</f>
        <v/>
      </c>
      <c r="M69" s="7" t="str">
        <f>IFERROR(__xludf.DUMMYFUNCTION("""COMPUTED_VALUE"""),"Save successfully")</f>
        <v>Save successfully</v>
      </c>
      <c r="N69" s="7" t="str">
        <f>IFERROR(__xludf.DUMMYFUNCTION("""COMPUTED_VALUE"""),"")</f>
        <v/>
      </c>
      <c r="O69" s="7" t="str">
        <f>IFERROR(__xludf.DUMMYFUNCTION("""COMPUTED_VALUE"""),"Showing error message as ""
Correct Question Choice must be an integer.""")</f>
        <v>Showing error message as "
Correct Question Choice must be an integer."</v>
      </c>
      <c r="P69" s="7" t="str">
        <f>IFERROR(__xludf.DUMMYFUNCTION("""COMPUTED_VALUE"""),"Fail")</f>
        <v>Fail</v>
      </c>
      <c r="Q69" s="7" t="str">
        <f>IFERROR(__xludf.DUMMYFUNCTION("""COMPUTED_VALUE"""),"")</f>
        <v/>
      </c>
      <c r="R69" s="8" t="str">
        <f>IFERROR(__xludf.DUMMYFUNCTION("""COMPUTED_VALUE"""),"")</f>
        <v/>
      </c>
      <c r="S69" s="7" t="str">
        <f>IFERROR(__xludf.DUMMYFUNCTION("""COMPUTED_VALUE"""),"")</f>
        <v/>
      </c>
      <c r="T69" s="7"/>
      <c r="U69" s="9" t="s">
        <v>84</v>
      </c>
      <c r="V69" s="9" t="s">
        <v>72</v>
      </c>
      <c r="W69" s="9" t="s">
        <v>66</v>
      </c>
      <c r="X69" s="7"/>
      <c r="Y69" s="7"/>
      <c r="Z69" s="7"/>
    </row>
    <row r="70">
      <c r="A70" s="7" t="str">
        <f>IFERROR(__xludf.DUMMYFUNCTION("""COMPUTED_VALUE"""),"TCM_dKosh_General_SMF1_019_250")</f>
        <v>TCM_dKosh_General_SMF1_019_250</v>
      </c>
      <c r="B70" s="7" t="str">
        <f>IFERROR(__xludf.DUMMYFUNCTION("""COMPUTED_VALUE"""),"TP_dKosh_General_SMF1_019")</f>
        <v>TP_dKosh_General_SMF1_019</v>
      </c>
      <c r="C70" s="7">
        <f>IFERROR(__xludf.DUMMYFUNCTION("""COMPUTED_VALUE"""),250.0)</f>
        <v>250</v>
      </c>
      <c r="D70" s="7" t="str">
        <f>IFERROR(__xludf.DUMMYFUNCTION("""COMPUTED_VALUE"""),"Web, Mobile")</f>
        <v>Web, Mobile</v>
      </c>
      <c r="E70" s="7" t="str">
        <f>IFERROR(__xludf.DUMMYFUNCTION("""COMPUTED_VALUE"""),"Answer Key")</f>
        <v>Answer Key</v>
      </c>
      <c r="F70" s="7" t="str">
        <f>IFERROR(__xludf.DUMMYFUNCTION("""COMPUTED_VALUE"""),"Create")</f>
        <v>Create</v>
      </c>
      <c r="G70" s="7" t="str">
        <f>IFERROR(__xludf.DUMMYFUNCTION("""COMPUTED_VALUE"""),"M")</f>
        <v>M</v>
      </c>
      <c r="H70" s="7" t="str">
        <f>IFERROR(__xludf.DUMMYFUNCTION("""COMPUTED_VALUE"""),"Ankit")</f>
        <v>Ankit</v>
      </c>
      <c r="I70" s="7" t="str">
        <f>IFERROR(__xludf.DUMMYFUNCTION("""COMPUTED_VALUE"""),"Validation")</f>
        <v>Validation</v>
      </c>
      <c r="J70" s="7" t="str">
        <f>IFERROR(__xludf.DUMMYFUNCTION("""COMPUTED_VALUE"""),"")</f>
        <v/>
      </c>
      <c r="K70" s="7" t="str">
        <f>IFERROR(__xludf.DUMMYFUNCTION("""COMPUTED_VALUE"""),"Verify default data is displaying if Points field is mandatory.")</f>
        <v>Verify default data is displaying if Points field is mandatory.</v>
      </c>
      <c r="L70" s="7" t="str">
        <f>IFERROR(__xludf.DUMMYFUNCTION("""COMPUTED_VALUE"""),"1. Go to manage form list.
2. Click on Modify form in Action.
3. Select any question.
4. Click on Answer key link.
5. Enter data in Points field.
5. Click on out side the field.")</f>
        <v>1. Go to manage form list.
2. Click on Modify form in Action.
3. Select any question.
4. Click on Answer key link.
5. Enter data in Points field.
5. Click on out side the field.</v>
      </c>
      <c r="M70" s="7" t="str">
        <f>IFERROR(__xludf.DUMMYFUNCTION("""COMPUTED_VALUE"""),"Optional")</f>
        <v>Optional</v>
      </c>
      <c r="N70" s="7" t="str">
        <f>IFERROR(__xludf.DUMMYFUNCTION("""COMPUTED_VALUE"""),"")</f>
        <v/>
      </c>
      <c r="O70" s="7" t="str">
        <f>IFERROR(__xludf.DUMMYFUNCTION("""COMPUTED_VALUE"""),"Bydefault value is 0 showing")</f>
        <v>Bydefault value is 0 showing</v>
      </c>
      <c r="P70" s="7" t="str">
        <f>IFERROR(__xludf.DUMMYFUNCTION("""COMPUTED_VALUE"""),"Fail")</f>
        <v>Fail</v>
      </c>
      <c r="Q70" s="7" t="str">
        <f>IFERROR(__xludf.DUMMYFUNCTION("""COMPUTED_VALUE"""),"")</f>
        <v/>
      </c>
      <c r="R70" s="8" t="str">
        <f>IFERROR(__xludf.DUMMYFUNCTION("""COMPUTED_VALUE"""),"")</f>
        <v/>
      </c>
      <c r="S70" s="7" t="str">
        <f>IFERROR(__xludf.DUMMYFUNCTION("""COMPUTED_VALUE"""),"")</f>
        <v/>
      </c>
      <c r="T70" s="9" t="s">
        <v>10</v>
      </c>
      <c r="U70" s="9"/>
      <c r="V70" s="9" t="s">
        <v>72</v>
      </c>
      <c r="W70" s="9" t="s">
        <v>66</v>
      </c>
      <c r="X70" s="7"/>
      <c r="Y70" s="7"/>
      <c r="Z70" s="7"/>
    </row>
    <row r="71">
      <c r="A71" s="7" t="str">
        <f>IFERROR(__xludf.DUMMYFUNCTION("""COMPUTED_VALUE"""),"TCM_dKosh_General_SMF1_019_251")</f>
        <v>TCM_dKosh_General_SMF1_019_251</v>
      </c>
      <c r="B71" s="7" t="str">
        <f>IFERROR(__xludf.DUMMYFUNCTION("""COMPUTED_VALUE"""),"TP_dKosh_General_SMF1_019")</f>
        <v>TP_dKosh_General_SMF1_019</v>
      </c>
      <c r="C71" s="7">
        <f>IFERROR(__xludf.DUMMYFUNCTION("""COMPUTED_VALUE"""),251.0)</f>
        <v>251</v>
      </c>
      <c r="D71" s="7" t="str">
        <f>IFERROR(__xludf.DUMMYFUNCTION("""COMPUTED_VALUE"""),"Web, Mobile")</f>
        <v>Web, Mobile</v>
      </c>
      <c r="E71" s="7" t="str">
        <f>IFERROR(__xludf.DUMMYFUNCTION("""COMPUTED_VALUE"""),"Answer Key")</f>
        <v>Answer Key</v>
      </c>
      <c r="F71" s="7" t="str">
        <f>IFERROR(__xludf.DUMMYFUNCTION("""COMPUTED_VALUE"""),"Create")</f>
        <v>Create</v>
      </c>
      <c r="G71" s="7" t="str">
        <f>IFERROR(__xludf.DUMMYFUNCTION("""COMPUTED_VALUE"""),"M")</f>
        <v>M</v>
      </c>
      <c r="H71" s="7" t="str">
        <f>IFERROR(__xludf.DUMMYFUNCTION("""COMPUTED_VALUE"""),"Ankit")</f>
        <v>Ankit</v>
      </c>
      <c r="I71" s="7" t="str">
        <f>IFERROR(__xludf.DUMMYFUNCTION("""COMPUTED_VALUE"""),"UI")</f>
        <v>UI</v>
      </c>
      <c r="J71" s="7" t="str">
        <f>IFERROR(__xludf.DUMMYFUNCTION("""COMPUTED_VALUE"""),"")</f>
        <v/>
      </c>
      <c r="K71" s="7" t="str">
        <f>IFERROR(__xludf.DUMMYFUNCTION("""COMPUTED_VALUE"""),"Verify the Caption, Placeholder, type of the Negative Points field.")</f>
        <v>Verify the Caption, Placeholder, type of the Negative Points field.</v>
      </c>
      <c r="L71" s="7" t="str">
        <f>IFERROR(__xludf.DUMMYFUNCTION("""COMPUTED_VALUE"""),"1. Go to manage form list.
2. Click on Modify form in Action.
3. Select any question.
4. Click on Answer key link.
5. Verify the caption and field")</f>
        <v>1. Go to manage form list.
2. Click on Modify form in Action.
3. Select any question.
4. Click on Answer key link.
5. Verify the caption and field</v>
      </c>
      <c r="M71" s="7" t="str">
        <f>IFERROR(__xludf.DUMMYFUNCTION("""COMPUTED_VALUE"""),"Caption: Negative Points
Place holder:
Control Type: Text field
View - Disabled")</f>
        <v>Caption: Negative Points
Place holder:
Control Type: Text field
View - Disabled</v>
      </c>
      <c r="N71" s="7" t="str">
        <f>IFERROR(__xludf.DUMMYFUNCTION("""COMPUTED_VALUE"""),"")</f>
        <v/>
      </c>
      <c r="O71" s="7" t="str">
        <f>IFERROR(__xludf.DUMMYFUNCTION("""COMPUTED_VALUE"""),"Field missing")</f>
        <v>Field missing</v>
      </c>
      <c r="P71" s="7" t="str">
        <f>IFERROR(__xludf.DUMMYFUNCTION("""COMPUTED_VALUE"""),"Fail")</f>
        <v>Fail</v>
      </c>
      <c r="Q71" s="7" t="str">
        <f>IFERROR(__xludf.DUMMYFUNCTION("""COMPUTED_VALUE"""),"")</f>
        <v/>
      </c>
      <c r="R71" s="8" t="str">
        <f>IFERROR(__xludf.DUMMYFUNCTION("""COMPUTED_VALUE"""),"")</f>
        <v/>
      </c>
      <c r="S71" s="7" t="str">
        <f>IFERROR(__xludf.DUMMYFUNCTION("""COMPUTED_VALUE"""),"")</f>
        <v/>
      </c>
      <c r="T71" s="9" t="s">
        <v>10</v>
      </c>
      <c r="U71" s="7"/>
      <c r="V71" s="9" t="s">
        <v>72</v>
      </c>
      <c r="W71" s="7"/>
      <c r="X71" s="7"/>
      <c r="Y71" s="7"/>
      <c r="Z71" s="7"/>
    </row>
    <row r="72">
      <c r="A72" s="7" t="str">
        <f>IFERROR(__xludf.DUMMYFUNCTION("""COMPUTED_VALUE"""),"TCM_dKosh_General_SMF1_019_252")</f>
        <v>TCM_dKosh_General_SMF1_019_252</v>
      </c>
      <c r="B72" s="7" t="str">
        <f>IFERROR(__xludf.DUMMYFUNCTION("""COMPUTED_VALUE"""),"TP_dKosh_General_SMF1_019")</f>
        <v>TP_dKosh_General_SMF1_019</v>
      </c>
      <c r="C72" s="7">
        <f>IFERROR(__xludf.DUMMYFUNCTION("""COMPUTED_VALUE"""),252.0)</f>
        <v>252</v>
      </c>
      <c r="D72" s="7" t="str">
        <f>IFERROR(__xludf.DUMMYFUNCTION("""COMPUTED_VALUE"""),"Web, Mobile")</f>
        <v>Web, Mobile</v>
      </c>
      <c r="E72" s="7" t="str">
        <f>IFERROR(__xludf.DUMMYFUNCTION("""COMPUTED_VALUE"""),"Answer Key")</f>
        <v>Answer Key</v>
      </c>
      <c r="F72" s="7" t="str">
        <f>IFERROR(__xludf.DUMMYFUNCTION("""COMPUTED_VALUE"""),"Create")</f>
        <v>Create</v>
      </c>
      <c r="G72" s="7" t="str">
        <f>IFERROR(__xludf.DUMMYFUNCTION("""COMPUTED_VALUE"""),"M")</f>
        <v>M</v>
      </c>
      <c r="H72" s="7" t="str">
        <f>IFERROR(__xludf.DUMMYFUNCTION("""COMPUTED_VALUE"""),"Ankit")</f>
        <v>Ankit</v>
      </c>
      <c r="I72" s="7" t="str">
        <f>IFERROR(__xludf.DUMMYFUNCTION("""COMPUTED_VALUE"""),"Validation")</f>
        <v>Validation</v>
      </c>
      <c r="J72" s="7" t="str">
        <f>IFERROR(__xludf.DUMMYFUNCTION("""COMPUTED_VALUE"""),"")</f>
        <v/>
      </c>
      <c r="K72" s="7" t="str">
        <f>IFERROR(__xludf.DUMMYFUNCTION("""COMPUTED_VALUE"""),"Verify the Negative Points field data is auto calculating on the basis of settings at Form level.")</f>
        <v>Verify the Negative Points field data is auto calculating on the basis of settings at Form level.</v>
      </c>
      <c r="L72" s="7" t="str">
        <f>IFERROR(__xludf.DUMMYFUNCTION("""COMPUTED_VALUE"""),"1. Go to manage form list.
2. Click on Modify form in Action.
3. Select any question.
4. Click on Answer key link.
5. Enter data in Points field.
5. Click on out side the field.")</f>
        <v>1. Go to manage form list.
2. Click on Modify form in Action.
3. Select any question.
4. Click on Answer key link.
5. Enter data in Points field.
5. Click on out side the field.</v>
      </c>
      <c r="M72" s="7" t="str">
        <f>IFERROR(__xludf.DUMMYFUNCTION("""COMPUTED_VALUE"""),"If Form setting in percent then")</f>
        <v>If Form setting in percent then</v>
      </c>
      <c r="N72" s="7" t="str">
        <f>IFERROR(__xludf.DUMMYFUNCTION("""COMPUTED_VALUE"""),"")</f>
        <v/>
      </c>
      <c r="O72" s="7" t="str">
        <f>IFERROR(__xludf.DUMMYFUNCTION("""COMPUTED_VALUE"""),"")</f>
        <v/>
      </c>
      <c r="P72" s="7" t="str">
        <f>IFERROR(__xludf.DUMMYFUNCTION("""COMPUTED_VALUE"""),"Fail")</f>
        <v>Fail</v>
      </c>
      <c r="Q72" s="7" t="str">
        <f>IFERROR(__xludf.DUMMYFUNCTION("""COMPUTED_VALUE"""),"")</f>
        <v/>
      </c>
      <c r="R72" s="8" t="str">
        <f>IFERROR(__xludf.DUMMYFUNCTION("""COMPUTED_VALUE"""),"")</f>
        <v/>
      </c>
      <c r="S72" s="7" t="str">
        <f>IFERROR(__xludf.DUMMYFUNCTION("""COMPUTED_VALUE"""),"")</f>
        <v/>
      </c>
      <c r="T72" s="9" t="s">
        <v>10</v>
      </c>
      <c r="U72" s="9"/>
      <c r="V72" s="7"/>
      <c r="W72" s="7"/>
      <c r="X72" s="7"/>
      <c r="Y72" s="7"/>
      <c r="Z72" s="7"/>
    </row>
    <row r="73">
      <c r="A73" s="7" t="str">
        <f>IFERROR(__xludf.DUMMYFUNCTION("""COMPUTED_VALUE"""),"TCM_dKosh_General_SMF1_020_258")</f>
        <v>TCM_dKosh_General_SMF1_020_258</v>
      </c>
      <c r="B73" s="7" t="str">
        <f>IFERROR(__xludf.DUMMYFUNCTION("""COMPUTED_VALUE"""),"TP_dKosh_General_SMF1_020")</f>
        <v>TP_dKosh_General_SMF1_020</v>
      </c>
      <c r="C73" s="7">
        <f>IFERROR(__xludf.DUMMYFUNCTION("""COMPUTED_VALUE"""),258.0)</f>
        <v>258</v>
      </c>
      <c r="D73" s="7" t="str">
        <f>IFERROR(__xludf.DUMMYFUNCTION("""COMPUTED_VALUE"""),"Web, Mobile")</f>
        <v>Web, Mobile</v>
      </c>
      <c r="E73" s="7" t="str">
        <f>IFERROR(__xludf.DUMMYFUNCTION("""COMPUTED_VALUE"""),"Settings")</f>
        <v>Settings</v>
      </c>
      <c r="F73" s="7" t="str">
        <f>IFERROR(__xludf.DUMMYFUNCTION("""COMPUTED_VALUE"""),"Insert Image")</f>
        <v>Insert Image</v>
      </c>
      <c r="G73" s="7" t="str">
        <f>IFERROR(__xludf.DUMMYFUNCTION("""COMPUTED_VALUE"""),"M")</f>
        <v>M</v>
      </c>
      <c r="H73" s="7" t="str">
        <f>IFERROR(__xludf.DUMMYFUNCTION("""COMPUTED_VALUE"""),"Ankit")</f>
        <v>Ankit</v>
      </c>
      <c r="I73" s="7" t="str">
        <f>IFERROR(__xludf.DUMMYFUNCTION("""COMPUTED_VALUE"""),"Validation")</f>
        <v>Validation</v>
      </c>
      <c r="J73" s="7" t="str">
        <f>IFERROR(__xludf.DUMMYFUNCTION("""COMPUTED_VALUE"""),"")</f>
        <v/>
      </c>
      <c r="K73" s="7" t="str">
        <f>IFERROR(__xludf.DUMMYFUNCTION("""COMPUTED_VALUE"""),"Verify insert image is mandatory")</f>
        <v>Verify insert image is mandatory</v>
      </c>
      <c r="L73" s="7" t="str">
        <f>IFERROR(__xludf.DUMMYFUNCTION("""COMPUTED_VALUE"""),"")</f>
        <v/>
      </c>
      <c r="M73" s="7" t="str">
        <f>IFERROR(__xludf.DUMMYFUNCTION("""COMPUTED_VALUE"""),"Not mandatory in requirement sheet.")</f>
        <v>Not mandatory in requirement sheet.</v>
      </c>
      <c r="N73" s="7" t="str">
        <f>IFERROR(__xludf.DUMMYFUNCTION("""COMPUTED_VALUE"""),"")</f>
        <v/>
      </c>
      <c r="O73" s="7" t="str">
        <f>IFERROR(__xludf.DUMMYFUNCTION("""COMPUTED_VALUE"""),"Mandatory with showing message as ""Insert Image/Audio/Video cannot be blank.""")</f>
        <v>Mandatory with showing message as "Insert Image/Audio/Video cannot be blank."</v>
      </c>
      <c r="P73" s="7" t="str">
        <f>IFERROR(__xludf.DUMMYFUNCTION("""COMPUTED_VALUE"""),"Fail")</f>
        <v>Fail</v>
      </c>
      <c r="Q73" s="7" t="str">
        <f>IFERROR(__xludf.DUMMYFUNCTION("""COMPUTED_VALUE"""),"")</f>
        <v/>
      </c>
      <c r="R73" s="8" t="str">
        <f>IFERROR(__xludf.DUMMYFUNCTION("""COMPUTED_VALUE"""),"")</f>
        <v/>
      </c>
      <c r="S73" s="7" t="str">
        <f>IFERROR(__xludf.DUMMYFUNCTION("""COMPUTED_VALUE"""),"")</f>
        <v/>
      </c>
      <c r="T73" s="9" t="s">
        <v>10</v>
      </c>
      <c r="U73" s="7"/>
      <c r="V73" s="7"/>
      <c r="W73" s="7"/>
      <c r="X73" s="7"/>
      <c r="Y73" s="7"/>
      <c r="Z73" s="7"/>
    </row>
    <row r="74">
      <c r="A74" s="7" t="str">
        <f>IFERROR(__xludf.DUMMYFUNCTION("""COMPUTED_VALUE"""),"TCM_dKosh_General_SMF1_020_261")</f>
        <v>TCM_dKosh_General_SMF1_020_261</v>
      </c>
      <c r="B74" s="7" t="str">
        <f>IFERROR(__xludf.DUMMYFUNCTION("""COMPUTED_VALUE"""),"TP_dKosh_General_SMF1_020")</f>
        <v>TP_dKosh_General_SMF1_020</v>
      </c>
      <c r="C74" s="7">
        <f>IFERROR(__xludf.DUMMYFUNCTION("""COMPUTED_VALUE"""),261.0)</f>
        <v>261</v>
      </c>
      <c r="D74" s="7" t="str">
        <f>IFERROR(__xludf.DUMMYFUNCTION("""COMPUTED_VALUE"""),"Web, Mobile")</f>
        <v>Web, Mobile</v>
      </c>
      <c r="E74" s="7" t="str">
        <f>IFERROR(__xludf.DUMMYFUNCTION("""COMPUTED_VALUE"""),"Settings")</f>
        <v>Settings</v>
      </c>
      <c r="F74" s="7" t="str">
        <f>IFERROR(__xludf.DUMMYFUNCTION("""COMPUTED_VALUE"""),"Insert Image")</f>
        <v>Insert Image</v>
      </c>
      <c r="G74" s="7" t="str">
        <f>IFERROR(__xludf.DUMMYFUNCTION("""COMPUTED_VALUE"""),"M")</f>
        <v>M</v>
      </c>
      <c r="H74" s="7" t="str">
        <f>IFERROR(__xludf.DUMMYFUNCTION("""COMPUTED_VALUE"""),"Ankit")</f>
        <v>Ankit</v>
      </c>
      <c r="I74" s="7" t="str">
        <f>IFERROR(__xludf.DUMMYFUNCTION("""COMPUTED_VALUE"""),"Functional")</f>
        <v>Functional</v>
      </c>
      <c r="J74" s="7" t="str">
        <f>IFERROR(__xludf.DUMMYFUNCTION("""COMPUTED_VALUE"""),"")</f>
        <v/>
      </c>
      <c r="K74" s="7" t="str">
        <f>IFERROR(__xludf.DUMMYFUNCTION("""COMPUTED_VALUE"""),"Verify that image is saving after selecting the image from pop up.")</f>
        <v>Verify that image is saving after selecting the image from pop up.</v>
      </c>
      <c r="L74" s="7" t="str">
        <f>IFERROR(__xludf.DUMMYFUNCTION("""COMPUTED_VALUE"""),"1. Go to manage form list.
2. Select a form.
3. Click on Create Question.
4. Select question type.
5. Add the Section field text.
6. Click on Settings.
7. Click on Insert image.")</f>
        <v>1. Go to manage form list.
2. Select a form.
3. Click on Create Question.
4. Select question type.
5. Add the Section field text.
6. Click on Settings.
7. Click on Insert image.</v>
      </c>
      <c r="M74" s="7" t="str">
        <f>IFERROR(__xludf.DUMMYFUNCTION("""COMPUTED_VALUE"""),"Image file should be saved in dbl_image column in tbl_sf_form_question.")</f>
        <v>Image file should be saved in dbl_image column in tbl_sf_form_question.</v>
      </c>
      <c r="N74" s="7" t="str">
        <f>IFERROR(__xludf.DUMMYFUNCTION("""COMPUTED_VALUE"""),"")</f>
        <v/>
      </c>
      <c r="O74" s="7" t="str">
        <f>IFERROR(__xludf.DUMMYFUNCTION("""COMPUTED_VALUE"""),"int_image_type_file_type is not in miscellaneous category.
By default goes to 2.")</f>
        <v>int_image_type_file_type is not in miscellaneous category.
By default goes to 2.</v>
      </c>
      <c r="P74" s="7" t="str">
        <f>IFERROR(__xludf.DUMMYFUNCTION("""COMPUTED_VALUE"""),"Fail")</f>
        <v>Fail</v>
      </c>
      <c r="Q74" s="7" t="str">
        <f>IFERROR(__xludf.DUMMYFUNCTION("""COMPUTED_VALUE"""),"")</f>
        <v/>
      </c>
      <c r="R74" s="8" t="str">
        <f>IFERROR(__xludf.DUMMYFUNCTION("""COMPUTED_VALUE"""),"")</f>
        <v/>
      </c>
      <c r="S74" s="7" t="str">
        <f>IFERROR(__xludf.DUMMYFUNCTION("""COMPUTED_VALUE"""),"")</f>
        <v/>
      </c>
      <c r="T74" s="9" t="s">
        <v>10</v>
      </c>
      <c r="U74" s="7"/>
      <c r="V74" s="7"/>
      <c r="W74" s="7"/>
      <c r="X74" s="7"/>
      <c r="Y74" s="7"/>
      <c r="Z74" s="7"/>
    </row>
    <row r="75">
      <c r="A75" s="7" t="str">
        <f>IFERROR(__xludf.DUMMYFUNCTION("""COMPUTED_VALUE"""),"TCM_dKosh_General_SMF1_020_263")</f>
        <v>TCM_dKosh_General_SMF1_020_263</v>
      </c>
      <c r="B75" s="7" t="str">
        <f>IFERROR(__xludf.DUMMYFUNCTION("""COMPUTED_VALUE"""),"TP_dKosh_General_SMF1_020")</f>
        <v>TP_dKosh_General_SMF1_020</v>
      </c>
      <c r="C75" s="7">
        <f>IFERROR(__xludf.DUMMYFUNCTION("""COMPUTED_VALUE"""),263.0)</f>
        <v>263</v>
      </c>
      <c r="D75" s="7" t="str">
        <f>IFERROR(__xludf.DUMMYFUNCTION("""COMPUTED_VALUE"""),"Web, Mobile")</f>
        <v>Web, Mobile</v>
      </c>
      <c r="E75" s="7" t="str">
        <f>IFERROR(__xludf.DUMMYFUNCTION("""COMPUTED_VALUE"""),"Settings")</f>
        <v>Settings</v>
      </c>
      <c r="F75" s="7" t="str">
        <f>IFERROR(__xludf.DUMMYFUNCTION("""COMPUTED_VALUE"""),"Delete Image")</f>
        <v>Delete Image</v>
      </c>
      <c r="G75" s="7" t="str">
        <f>IFERROR(__xludf.DUMMYFUNCTION("""COMPUTED_VALUE"""),"M")</f>
        <v>M</v>
      </c>
      <c r="H75" s="7" t="str">
        <f>IFERROR(__xludf.DUMMYFUNCTION("""COMPUTED_VALUE"""),"Ankit")</f>
        <v>Ankit</v>
      </c>
      <c r="I75" s="7" t="str">
        <f>IFERROR(__xludf.DUMMYFUNCTION("""COMPUTED_VALUE"""),"Functional")</f>
        <v>Functional</v>
      </c>
      <c r="J75" s="7" t="str">
        <f>IFERROR(__xludf.DUMMYFUNCTION("""COMPUTED_VALUE"""),"")</f>
        <v/>
      </c>
      <c r="K75" s="7" t="str">
        <f>IFERROR(__xludf.DUMMYFUNCTION("""COMPUTED_VALUE"""),"Verify the delete functionality of the inserted image in Question panel.")</f>
        <v>Verify the delete functionality of the inserted image in Question panel.</v>
      </c>
      <c r="L75" s="7" t="str">
        <f>IFERROR(__xludf.DUMMYFUNCTION("""COMPUTED_VALUE"""),"1. Go to manage form list.
2. Select a form.
3. Click on Create Question.
4. Select question type.
5. Add the Section field text.
6. Click on Settings.
7. Click on Insert image.")</f>
        <v>1. Go to manage form list.
2. Select a form.
3. Click on Create Question.
4. Select question type.
5. Add the Section field text.
6. Click on Settings.
7. Click on Insert image.</v>
      </c>
      <c r="M75" s="7" t="str">
        <f>IFERROR(__xludf.DUMMYFUNCTION("""COMPUTED_VALUE"""),"?")</f>
        <v>?</v>
      </c>
      <c r="N75" s="7" t="str">
        <f>IFERROR(__xludf.DUMMYFUNCTION("""COMPUTED_VALUE"""),"")</f>
        <v/>
      </c>
      <c r="O75" s="7" t="str">
        <f>IFERROR(__xludf.DUMMYFUNCTION("""COMPUTED_VALUE"""),"Delete functionality should be presentq")</f>
        <v>Delete functionality should be presentq</v>
      </c>
      <c r="P75" s="7" t="str">
        <f>IFERROR(__xludf.DUMMYFUNCTION("""COMPUTED_VALUE"""),"Fail")</f>
        <v>Fail</v>
      </c>
      <c r="Q75" s="7" t="str">
        <f>IFERROR(__xludf.DUMMYFUNCTION("""COMPUTED_VALUE"""),"")</f>
        <v/>
      </c>
      <c r="R75" s="8" t="str">
        <f>IFERROR(__xludf.DUMMYFUNCTION("""COMPUTED_VALUE"""),"")</f>
        <v/>
      </c>
      <c r="S75" s="7" t="str">
        <f>IFERROR(__xludf.DUMMYFUNCTION("""COMPUTED_VALUE"""),"")</f>
        <v/>
      </c>
      <c r="T75" s="9" t="s">
        <v>10</v>
      </c>
      <c r="U75" s="9" t="s">
        <v>8</v>
      </c>
      <c r="V75" s="7"/>
      <c r="W75" s="7"/>
      <c r="X75" s="7"/>
      <c r="Y75" s="7"/>
      <c r="Z75" s="7"/>
    </row>
    <row r="76">
      <c r="A76" s="7" t="str">
        <f>IFERROR(__xludf.DUMMYFUNCTION("""COMPUTED_VALUE"""),"TCM_dKosh_General_SMF1_020_266")</f>
        <v>TCM_dKosh_General_SMF1_020_266</v>
      </c>
      <c r="B76" s="7" t="str">
        <f>IFERROR(__xludf.DUMMYFUNCTION("""COMPUTED_VALUE"""),"TP_dKosh_General_SMF1_020")</f>
        <v>TP_dKosh_General_SMF1_020</v>
      </c>
      <c r="C76" s="7">
        <f>IFERROR(__xludf.DUMMYFUNCTION("""COMPUTED_VALUE"""),266.0)</f>
        <v>266</v>
      </c>
      <c r="D76" s="7" t="str">
        <f>IFERROR(__xludf.DUMMYFUNCTION("""COMPUTED_VALUE"""),"Web, Mobile")</f>
        <v>Web, Mobile</v>
      </c>
      <c r="E76" s="7" t="str">
        <f>IFERROR(__xludf.DUMMYFUNCTION("""COMPUTED_VALUE"""),"Settings")</f>
        <v>Settings</v>
      </c>
      <c r="F76" s="7" t="str">
        <f>IFERROR(__xludf.DUMMYFUNCTION("""COMPUTED_VALUE"""),"Insert Audio")</f>
        <v>Insert Audio</v>
      </c>
      <c r="G76" s="7" t="str">
        <f>IFERROR(__xludf.DUMMYFUNCTION("""COMPUTED_VALUE"""),"M")</f>
        <v>M</v>
      </c>
      <c r="H76" s="7" t="str">
        <f>IFERROR(__xludf.DUMMYFUNCTION("""COMPUTED_VALUE"""),"Ankit")</f>
        <v>Ankit</v>
      </c>
      <c r="I76" s="7" t="str">
        <f>IFERROR(__xludf.DUMMYFUNCTION("""COMPUTED_VALUE"""),"Validation")</f>
        <v>Validation</v>
      </c>
      <c r="J76" s="7" t="str">
        <f>IFERROR(__xludf.DUMMYFUNCTION("""COMPUTED_VALUE"""),"")</f>
        <v/>
      </c>
      <c r="K76" s="7" t="str">
        <f>IFERROR(__xludf.DUMMYFUNCTION("""COMPUTED_VALUE"""),"Verify insert Audio is mandatory")</f>
        <v>Verify insert Audio is mandatory</v>
      </c>
      <c r="L76" s="7" t="str">
        <f>IFERROR(__xludf.DUMMYFUNCTION("""COMPUTED_VALUE"""),"")</f>
        <v/>
      </c>
      <c r="M76" s="7" t="str">
        <f>IFERROR(__xludf.DUMMYFUNCTION("""COMPUTED_VALUE"""),"Not mandatory in requirement sheet.")</f>
        <v>Not mandatory in requirement sheet.</v>
      </c>
      <c r="N76" s="7" t="str">
        <f>IFERROR(__xludf.DUMMYFUNCTION("""COMPUTED_VALUE"""),"")</f>
        <v/>
      </c>
      <c r="O76" s="7" t="str">
        <f>IFERROR(__xludf.DUMMYFUNCTION("""COMPUTED_VALUE"""),"Mandatory with showing message as ""Insert Image/Audio/Video cannot be blank.""")</f>
        <v>Mandatory with showing message as "Insert Image/Audio/Video cannot be blank."</v>
      </c>
      <c r="P76" s="7" t="str">
        <f>IFERROR(__xludf.DUMMYFUNCTION("""COMPUTED_VALUE"""),"Fail")</f>
        <v>Fail</v>
      </c>
      <c r="Q76" s="7" t="str">
        <f>IFERROR(__xludf.DUMMYFUNCTION("""COMPUTED_VALUE"""),"")</f>
        <v/>
      </c>
      <c r="R76" s="8" t="str">
        <f>IFERROR(__xludf.DUMMYFUNCTION("""COMPUTED_VALUE"""),"")</f>
        <v/>
      </c>
      <c r="S76" s="7" t="str">
        <f>IFERROR(__xludf.DUMMYFUNCTION("""COMPUTED_VALUE"""),"")</f>
        <v/>
      </c>
      <c r="T76" s="9" t="s">
        <v>10</v>
      </c>
      <c r="U76" s="7"/>
      <c r="V76" s="7"/>
      <c r="W76" s="7"/>
      <c r="X76" s="7"/>
      <c r="Y76" s="7"/>
      <c r="Z76" s="7"/>
    </row>
    <row r="77">
      <c r="A77" s="7" t="str">
        <f>IFERROR(__xludf.DUMMYFUNCTION("""COMPUTED_VALUE"""),"TCM_dKosh_General_SMF1_020_270")</f>
        <v>TCM_dKosh_General_SMF1_020_270</v>
      </c>
      <c r="B77" s="7" t="str">
        <f>IFERROR(__xludf.DUMMYFUNCTION("""COMPUTED_VALUE"""),"TP_dKosh_General_SMF1_020")</f>
        <v>TP_dKosh_General_SMF1_020</v>
      </c>
      <c r="C77" s="7">
        <f>IFERROR(__xludf.DUMMYFUNCTION("""COMPUTED_VALUE"""),270.0)</f>
        <v>270</v>
      </c>
      <c r="D77" s="7" t="str">
        <f>IFERROR(__xludf.DUMMYFUNCTION("""COMPUTED_VALUE"""),"Web, Mobile")</f>
        <v>Web, Mobile</v>
      </c>
      <c r="E77" s="7" t="str">
        <f>IFERROR(__xludf.DUMMYFUNCTION("""COMPUTED_VALUE"""),"Settings")</f>
        <v>Settings</v>
      </c>
      <c r="F77" s="7" t="str">
        <f>IFERROR(__xludf.DUMMYFUNCTION("""COMPUTED_VALUE"""),"Insert Audio")</f>
        <v>Insert Audio</v>
      </c>
      <c r="G77" s="7" t="str">
        <f>IFERROR(__xludf.DUMMYFUNCTION("""COMPUTED_VALUE"""),"M")</f>
        <v>M</v>
      </c>
      <c r="H77" s="7" t="str">
        <f>IFERROR(__xludf.DUMMYFUNCTION("""COMPUTED_VALUE"""),"Ankit")</f>
        <v>Ankit</v>
      </c>
      <c r="I77" s="7" t="str">
        <f>IFERROR(__xludf.DUMMYFUNCTION("""COMPUTED_VALUE"""),"Functional")</f>
        <v>Functional</v>
      </c>
      <c r="J77" s="7" t="str">
        <f>IFERROR(__xludf.DUMMYFUNCTION("""COMPUTED_VALUE"""),"")</f>
        <v/>
      </c>
      <c r="K77" s="7" t="str">
        <f>IFERROR(__xludf.DUMMYFUNCTION("""COMPUTED_VALUE"""),"Verify that audio is saving after selecting the audio file from pop up.")</f>
        <v>Verify that audio is saving after selecting the audio file from pop up.</v>
      </c>
      <c r="L77" s="7" t="str">
        <f>IFERROR(__xludf.DUMMYFUNCTION("""COMPUTED_VALUE"""),"1. Go to manage form list.
2. Select a form.
3. Click on Create Question.
4. Select question type.
5. Add the Section field text.
6. Click on Settings.
7. Click on Insert audio.")</f>
        <v>1. Go to manage form list.
2. Select a form.
3. Click on Create Question.
4. Select question type.
5. Add the Section field text.
6. Click on Settings.
7. Click on Insert audio.</v>
      </c>
      <c r="M77" s="7" t="str">
        <f>IFERROR(__xludf.DUMMYFUNCTION("""COMPUTED_VALUE"""),"Audio file should be saved in mbl_image column in tbl_sf_question.")</f>
        <v>Audio file should be saved in mbl_image column in tbl_sf_question.</v>
      </c>
      <c r="N77" s="7" t="str">
        <f>IFERROR(__xludf.DUMMYFUNCTION("""COMPUTED_VALUE"""),"")</f>
        <v/>
      </c>
      <c r="O77" s="7" t="str">
        <f>IFERROR(__xludf.DUMMYFUNCTION("""COMPUTED_VALUE"""),"int_image_type_file_type is not in miscellaneous category.
By default goes to 4.")</f>
        <v>int_image_type_file_type is not in miscellaneous category.
By default goes to 4.</v>
      </c>
      <c r="P77" s="7" t="str">
        <f>IFERROR(__xludf.DUMMYFUNCTION("""COMPUTED_VALUE"""),"Fail")</f>
        <v>Fail</v>
      </c>
      <c r="Q77" s="7" t="str">
        <f>IFERROR(__xludf.DUMMYFUNCTION("""COMPUTED_VALUE"""),"")</f>
        <v/>
      </c>
      <c r="R77" s="8" t="str">
        <f>IFERROR(__xludf.DUMMYFUNCTION("""COMPUTED_VALUE"""),"")</f>
        <v/>
      </c>
      <c r="S77" s="7" t="str">
        <f>IFERROR(__xludf.DUMMYFUNCTION("""COMPUTED_VALUE"""),"")</f>
        <v/>
      </c>
      <c r="T77" s="9" t="s">
        <v>10</v>
      </c>
      <c r="U77" s="7"/>
      <c r="V77" s="7"/>
      <c r="W77" s="7"/>
      <c r="X77" s="7"/>
      <c r="Y77" s="7"/>
      <c r="Z77" s="7"/>
    </row>
    <row r="78">
      <c r="A78" s="7" t="str">
        <f>IFERROR(__xludf.DUMMYFUNCTION("""COMPUTED_VALUE"""),"TCM_dKosh_General_SMF1_020_274")</f>
        <v>TCM_dKosh_General_SMF1_020_274</v>
      </c>
      <c r="B78" s="7" t="str">
        <f>IFERROR(__xludf.DUMMYFUNCTION("""COMPUTED_VALUE"""),"TP_dKosh_General_SMF1_020")</f>
        <v>TP_dKosh_General_SMF1_020</v>
      </c>
      <c r="C78" s="7">
        <f>IFERROR(__xludf.DUMMYFUNCTION("""COMPUTED_VALUE"""),274.0)</f>
        <v>274</v>
      </c>
      <c r="D78" s="7" t="str">
        <f>IFERROR(__xludf.DUMMYFUNCTION("""COMPUTED_VALUE"""),"Web, Mobile")</f>
        <v>Web, Mobile</v>
      </c>
      <c r="E78" s="7" t="str">
        <f>IFERROR(__xludf.DUMMYFUNCTION("""COMPUTED_VALUE"""),"Settings")</f>
        <v>Settings</v>
      </c>
      <c r="F78" s="7" t="str">
        <f>IFERROR(__xludf.DUMMYFUNCTION("""COMPUTED_VALUE"""),"Insert Video")</f>
        <v>Insert Video</v>
      </c>
      <c r="G78" s="7" t="str">
        <f>IFERROR(__xludf.DUMMYFUNCTION("""COMPUTED_VALUE"""),"M")</f>
        <v>M</v>
      </c>
      <c r="H78" s="7" t="str">
        <f>IFERROR(__xludf.DUMMYFUNCTION("""COMPUTED_VALUE"""),"Ankit")</f>
        <v>Ankit</v>
      </c>
      <c r="I78" s="7" t="str">
        <f>IFERROR(__xludf.DUMMYFUNCTION("""COMPUTED_VALUE"""),"Functional")</f>
        <v>Functional</v>
      </c>
      <c r="J78" s="7" t="str">
        <f>IFERROR(__xludf.DUMMYFUNCTION("""COMPUTED_VALUE"""),"")</f>
        <v/>
      </c>
      <c r="K78" s="7" t="str">
        <f>IFERROR(__xludf.DUMMYFUNCTION("""COMPUTED_VALUE"""),"Verify insert video is mandatory")</f>
        <v>Verify insert video is mandatory</v>
      </c>
      <c r="L78" s="7" t="str">
        <f>IFERROR(__xludf.DUMMYFUNCTION("""COMPUTED_VALUE"""),"")</f>
        <v/>
      </c>
      <c r="M78" s="7" t="str">
        <f>IFERROR(__xludf.DUMMYFUNCTION("""COMPUTED_VALUE"""),"Not mandatory in requirement sheet.")</f>
        <v>Not mandatory in requirement sheet.</v>
      </c>
      <c r="N78" s="7" t="str">
        <f>IFERROR(__xludf.DUMMYFUNCTION("""COMPUTED_VALUE"""),"")</f>
        <v/>
      </c>
      <c r="O78" s="7" t="str">
        <f>IFERROR(__xludf.DUMMYFUNCTION("""COMPUTED_VALUE"""),"Mandatory with showing message as ""Insert Image/Audio/Video cannot be blank.""")</f>
        <v>Mandatory with showing message as "Insert Image/Audio/Video cannot be blank."</v>
      </c>
      <c r="P78" s="7" t="str">
        <f>IFERROR(__xludf.DUMMYFUNCTION("""COMPUTED_VALUE"""),"Fail")</f>
        <v>Fail</v>
      </c>
      <c r="Q78" s="7" t="str">
        <f>IFERROR(__xludf.DUMMYFUNCTION("""COMPUTED_VALUE"""),"")</f>
        <v/>
      </c>
      <c r="R78" s="8" t="str">
        <f>IFERROR(__xludf.DUMMYFUNCTION("""COMPUTED_VALUE"""),"")</f>
        <v/>
      </c>
      <c r="S78" s="7" t="str">
        <f>IFERROR(__xludf.DUMMYFUNCTION("""COMPUTED_VALUE"""),"")</f>
        <v/>
      </c>
      <c r="T78" s="9" t="s">
        <v>10</v>
      </c>
      <c r="U78" s="7"/>
      <c r="V78" s="7"/>
      <c r="W78" s="7"/>
      <c r="X78" s="7"/>
      <c r="Y78" s="7"/>
      <c r="Z78" s="7"/>
    </row>
    <row r="79">
      <c r="A79" s="7" t="str">
        <f>IFERROR(__xludf.DUMMYFUNCTION("""COMPUTED_VALUE"""),"TCM_dKosh_General_SMF1_020_277")</f>
        <v>TCM_dKosh_General_SMF1_020_277</v>
      </c>
      <c r="B79" s="7" t="str">
        <f>IFERROR(__xludf.DUMMYFUNCTION("""COMPUTED_VALUE"""),"TP_dKosh_General_SMF1_020")</f>
        <v>TP_dKosh_General_SMF1_020</v>
      </c>
      <c r="C79" s="7">
        <f>IFERROR(__xludf.DUMMYFUNCTION("""COMPUTED_VALUE"""),277.0)</f>
        <v>277</v>
      </c>
      <c r="D79" s="7" t="str">
        <f>IFERROR(__xludf.DUMMYFUNCTION("""COMPUTED_VALUE"""),"Web, Mobile")</f>
        <v>Web, Mobile</v>
      </c>
      <c r="E79" s="7" t="str">
        <f>IFERROR(__xludf.DUMMYFUNCTION("""COMPUTED_VALUE"""),"Settings")</f>
        <v>Settings</v>
      </c>
      <c r="F79" s="7" t="str">
        <f>IFERROR(__xludf.DUMMYFUNCTION("""COMPUTED_VALUE"""),"Insert Video")</f>
        <v>Insert Video</v>
      </c>
      <c r="G79" s="7" t="str">
        <f>IFERROR(__xludf.DUMMYFUNCTION("""COMPUTED_VALUE"""),"M")</f>
        <v>M</v>
      </c>
      <c r="H79" s="7" t="str">
        <f>IFERROR(__xludf.DUMMYFUNCTION("""COMPUTED_VALUE"""),"Ankit")</f>
        <v>Ankit</v>
      </c>
      <c r="I79" s="7" t="str">
        <f>IFERROR(__xludf.DUMMYFUNCTION("""COMPUTED_VALUE"""),"Functional")</f>
        <v>Functional</v>
      </c>
      <c r="J79" s="7" t="str">
        <f>IFERROR(__xludf.DUMMYFUNCTION("""COMPUTED_VALUE"""),"")</f>
        <v/>
      </c>
      <c r="K79" s="7" t="str">
        <f>IFERROR(__xludf.DUMMYFUNCTION("""COMPUTED_VALUE"""),"Verify that insert video pop up is accpeting all size of the image.")</f>
        <v>Verify that insert video pop up is accpeting all size of the image.</v>
      </c>
      <c r="L79" s="7" t="str">
        <f>IFERROR(__xludf.DUMMYFUNCTION("""COMPUTED_VALUE"""),"1. Go to manage form list.
2. Select a form.
3. Click on Create Question.
4. Select question type.
5. Add the Section field text.
6. Click on Settings.
7. Click on Insert video.")</f>
        <v>1. Go to manage form list.
2. Select a form.
3. Click on Create Question.
4. Select question type.
5. Add the Section field text.
6. Click on Settings.
7. Click on Insert video.</v>
      </c>
      <c r="M79" s="7" t="str">
        <f>IFERROR(__xludf.DUMMYFUNCTION("""COMPUTED_VALUE"""),"?")</f>
        <v>?</v>
      </c>
      <c r="N79" s="7" t="str">
        <f>IFERROR(__xludf.DUMMYFUNCTION("""COMPUTED_VALUE"""),"")</f>
        <v/>
      </c>
      <c r="O79" s="7" t="str">
        <f>IFERROR(__xludf.DUMMYFUNCTION("""COMPUTED_VALUE"""),"Message ""The file ""171124_B2_UHD_001.mp4"" is too big. Its size cannot exceed 10 MiB.
""")</f>
        <v>Message "The file "171124_B2_UHD_001.mp4" is too big. Its size cannot exceed 10 MiB.
"</v>
      </c>
      <c r="P79" s="7" t="str">
        <f>IFERROR(__xludf.DUMMYFUNCTION("""COMPUTED_VALUE"""),"Fail")</f>
        <v>Fail</v>
      </c>
      <c r="Q79" s="7" t="str">
        <f>IFERROR(__xludf.DUMMYFUNCTION("""COMPUTED_VALUE"""),"")</f>
        <v/>
      </c>
      <c r="R79" s="8" t="str">
        <f>IFERROR(__xludf.DUMMYFUNCTION("""COMPUTED_VALUE"""),"")</f>
        <v/>
      </c>
      <c r="S79" s="7" t="str">
        <f>IFERROR(__xludf.DUMMYFUNCTION("""COMPUTED_VALUE"""),"")</f>
        <v/>
      </c>
      <c r="T79" s="9" t="s">
        <v>10</v>
      </c>
      <c r="U79" s="7"/>
      <c r="V79" s="9" t="s">
        <v>11</v>
      </c>
      <c r="W79" s="9" t="s">
        <v>66</v>
      </c>
      <c r="X79" s="7"/>
      <c r="Y79" s="7"/>
      <c r="Z79" s="7"/>
    </row>
    <row r="80">
      <c r="A80" s="7" t="str">
        <f>IFERROR(__xludf.DUMMYFUNCTION("""COMPUTED_VALUE"""),"TCM_dKosh_General_SMF1_020_283")</f>
        <v>TCM_dKosh_General_SMF1_020_283</v>
      </c>
      <c r="B80" s="7" t="str">
        <f>IFERROR(__xludf.DUMMYFUNCTION("""COMPUTED_VALUE"""),"TP_dKosh_General_SMF1_020")</f>
        <v>TP_dKosh_General_SMF1_020</v>
      </c>
      <c r="C80" s="7">
        <f>IFERROR(__xludf.DUMMYFUNCTION("""COMPUTED_VALUE"""),283.0)</f>
        <v>283</v>
      </c>
      <c r="D80" s="7" t="str">
        <f>IFERROR(__xludf.DUMMYFUNCTION("""COMPUTED_VALUE"""),"Web, Mobile")</f>
        <v>Web, Mobile</v>
      </c>
      <c r="E80" s="7" t="str">
        <f>IFERROR(__xludf.DUMMYFUNCTION("""COMPUTED_VALUE"""),"Settings")</f>
        <v>Settings</v>
      </c>
      <c r="F80" s="7" t="str">
        <f>IFERROR(__xludf.DUMMYFUNCTION("""COMPUTED_VALUE"""),"Move to Section")</f>
        <v>Move to Section</v>
      </c>
      <c r="G80" s="7" t="str">
        <f>IFERROR(__xludf.DUMMYFUNCTION("""COMPUTED_VALUE"""),"M")</f>
        <v>M</v>
      </c>
      <c r="H80" s="7" t="str">
        <f>IFERROR(__xludf.DUMMYFUNCTION("""COMPUTED_VALUE"""),"Ankit")</f>
        <v>Ankit</v>
      </c>
      <c r="I80" s="7" t="str">
        <f>IFERROR(__xludf.DUMMYFUNCTION("""COMPUTED_VALUE"""),"UI")</f>
        <v>UI</v>
      </c>
      <c r="J80" s="7" t="str">
        <f>IFERROR(__xludf.DUMMYFUNCTION("""COMPUTED_VALUE"""),"")</f>
        <v/>
      </c>
      <c r="K80" s="7" t="str">
        <f>IFERROR(__xludf.DUMMYFUNCTION("""COMPUTED_VALUE"""),"Verify Caption, Place holder, type of Move to Section link in Settings.")</f>
        <v>Verify Caption, Place holder, type of Move to Section link in Settings.</v>
      </c>
      <c r="L80" s="7" t="str">
        <f>IFERROR(__xludf.DUMMYFUNCTION("""COMPUTED_VALUE"""),"1. Go to manage form list.
2. Select a form.
3. Select question type.
4. Click on Settings icon.
5. Verify the field.
")</f>
        <v>1. Go to manage form list.
2. Select a form.
3. Select question type.
4. Click on Settings icon.
5. Verify the field.
</v>
      </c>
      <c r="M80" s="7" t="str">
        <f>IFERROR(__xludf.DUMMYFUNCTION("""COMPUTED_VALUE"""),"Caption: Move to Section
Control type: link")</f>
        <v>Caption: Move to Section
Control type: link</v>
      </c>
      <c r="N80" s="7" t="str">
        <f>IFERROR(__xludf.DUMMYFUNCTION("""COMPUTED_VALUE"""),"")</f>
        <v/>
      </c>
      <c r="O80" s="7" t="str">
        <f>IFERROR(__xludf.DUMMYFUNCTION("""COMPUTED_VALUE"""),"Caption not matched ( s is small)")</f>
        <v>Caption not matched ( s is small)</v>
      </c>
      <c r="P80" s="7" t="str">
        <f>IFERROR(__xludf.DUMMYFUNCTION("""COMPUTED_VALUE"""),"Fail")</f>
        <v>Fail</v>
      </c>
      <c r="Q80" s="7" t="str">
        <f>IFERROR(__xludf.DUMMYFUNCTION("""COMPUTED_VALUE"""),"")</f>
        <v/>
      </c>
      <c r="R80" s="8" t="str">
        <f>IFERROR(__xludf.DUMMYFUNCTION("""COMPUTED_VALUE"""),"")</f>
        <v/>
      </c>
      <c r="S80" s="7" t="str">
        <f>IFERROR(__xludf.DUMMYFUNCTION("""COMPUTED_VALUE"""),"")</f>
        <v/>
      </c>
      <c r="T80" s="9" t="s">
        <v>10</v>
      </c>
      <c r="U80" s="9" t="s">
        <v>85</v>
      </c>
      <c r="V80" s="9" t="s">
        <v>11</v>
      </c>
      <c r="W80" s="9" t="s">
        <v>66</v>
      </c>
      <c r="X80" s="7"/>
      <c r="Y80" s="7"/>
      <c r="Z80" s="7"/>
    </row>
    <row r="81">
      <c r="A81" s="7" t="str">
        <f>IFERROR(__xludf.DUMMYFUNCTION("""COMPUTED_VALUE"""),"TCM_dKosh_General_SMF1_020_289")</f>
        <v>TCM_dKosh_General_SMF1_020_289</v>
      </c>
      <c r="B81" s="7" t="str">
        <f>IFERROR(__xludf.DUMMYFUNCTION("""COMPUTED_VALUE"""),"TP_dKosh_General_SMF1_020")</f>
        <v>TP_dKosh_General_SMF1_020</v>
      </c>
      <c r="C81" s="7">
        <f>IFERROR(__xludf.DUMMYFUNCTION("""COMPUTED_VALUE"""),289.0)</f>
        <v>289</v>
      </c>
      <c r="D81" s="7" t="str">
        <f>IFERROR(__xludf.DUMMYFUNCTION("""COMPUTED_VALUE"""),"Web, Mobile")</f>
        <v>Web, Mobile</v>
      </c>
      <c r="E81" s="7" t="str">
        <f>IFERROR(__xludf.DUMMYFUNCTION("""COMPUTED_VALUE"""),"Settings")</f>
        <v>Settings</v>
      </c>
      <c r="F81" s="7" t="str">
        <f>IFERROR(__xludf.DUMMYFUNCTION("""COMPUTED_VALUE"""),"Move to Section")</f>
        <v>Move to Section</v>
      </c>
      <c r="G81" s="7" t="str">
        <f>IFERROR(__xludf.DUMMYFUNCTION("""COMPUTED_VALUE"""),"M")</f>
        <v>M</v>
      </c>
      <c r="H81" s="7" t="str">
        <f>IFERROR(__xludf.DUMMYFUNCTION("""COMPUTED_VALUE"""),"Ankit")</f>
        <v>Ankit</v>
      </c>
      <c r="I81" s="7" t="str">
        <f>IFERROR(__xludf.DUMMYFUNCTION("""COMPUTED_VALUE"""),"UI")</f>
        <v>UI</v>
      </c>
      <c r="J81" s="7" t="str">
        <f>IFERROR(__xludf.DUMMYFUNCTION("""COMPUTED_VALUE"""),"")</f>
        <v/>
      </c>
      <c r="K81" s="7" t="str">
        <f>IFERROR(__xludf.DUMMYFUNCTION("""COMPUTED_VALUE"""),"Verify that Section dropdown is mandatory.")</f>
        <v>Verify that Section dropdown is mandatory.</v>
      </c>
      <c r="L81" s="7" t="str">
        <f>IFERROR(__xludf.DUMMYFUNCTION("""COMPUTED_VALUE"""),"1. Go to manage form list.
2. Click on Modify form in Action.
3. Select any question.
4. Click on Settings icon.
5. Click on Move to Section button
6. Verify the data in the form.")</f>
        <v>1. Go to manage form list.
2. Click on Modify form in Action.
3. Select any question.
4. Click on Settings icon.
5. Click on Move to Section button
6. Verify the data in the form.</v>
      </c>
      <c r="M81" s="7" t="str">
        <f>IFERROR(__xludf.DUMMYFUNCTION("""COMPUTED_VALUE"""),"This is mandatory. Before selecting this data form should not be submitted.")</f>
        <v>This is mandatory. Before selecting this data form should not be submitted.</v>
      </c>
      <c r="N81" s="7" t="str">
        <f>IFERROR(__xludf.DUMMYFUNCTION("""COMPUTED_VALUE"""),"Not a meaningfull message")</f>
        <v>Not a meaningfull message</v>
      </c>
      <c r="O81" s="7" t="str">
        <f>IFERROR(__xludf.DUMMYFUNCTION("""COMPUTED_VALUE"""),"Message ""Move question short_name to section: cannot be blank.""")</f>
        <v>Message "Move question short_name to section: cannot be blank."</v>
      </c>
      <c r="P81" s="7" t="str">
        <f>IFERROR(__xludf.DUMMYFUNCTION("""COMPUTED_VALUE"""),"Fail")</f>
        <v>Fail</v>
      </c>
      <c r="Q81" s="7" t="str">
        <f>IFERROR(__xludf.DUMMYFUNCTION("""COMPUTED_VALUE"""),"")</f>
        <v/>
      </c>
      <c r="R81" s="8" t="str">
        <f>IFERROR(__xludf.DUMMYFUNCTION("""COMPUTED_VALUE"""),"")</f>
        <v/>
      </c>
      <c r="S81" s="7" t="str">
        <f>IFERROR(__xludf.DUMMYFUNCTION("""COMPUTED_VALUE"""),"")</f>
        <v/>
      </c>
      <c r="T81" s="9" t="s">
        <v>10</v>
      </c>
      <c r="U81" s="7"/>
      <c r="V81" s="9" t="s">
        <v>11</v>
      </c>
      <c r="W81" s="9" t="s">
        <v>66</v>
      </c>
      <c r="X81" s="7"/>
      <c r="Y81" s="7"/>
      <c r="Z81" s="7"/>
    </row>
    <row r="82">
      <c r="A82" s="7" t="str">
        <f>IFERROR(__xludf.DUMMYFUNCTION("""COMPUTED_VALUE"""),"TCM_dKosh_General_SMF1_020_291")</f>
        <v>TCM_dKosh_General_SMF1_020_291</v>
      </c>
      <c r="B82" s="7" t="str">
        <f>IFERROR(__xludf.DUMMYFUNCTION("""COMPUTED_VALUE"""),"TP_dKosh_General_SMF1_020")</f>
        <v>TP_dKosh_General_SMF1_020</v>
      </c>
      <c r="C82" s="7">
        <f>IFERROR(__xludf.DUMMYFUNCTION("""COMPUTED_VALUE"""),291.0)</f>
        <v>291</v>
      </c>
      <c r="D82" s="7" t="str">
        <f>IFERROR(__xludf.DUMMYFUNCTION("""COMPUTED_VALUE"""),"Web, Mobile")</f>
        <v>Web, Mobile</v>
      </c>
      <c r="E82" s="7" t="str">
        <f>IFERROR(__xludf.DUMMYFUNCTION("""COMPUTED_VALUE"""),"Settings")</f>
        <v>Settings</v>
      </c>
      <c r="F82" s="7" t="str">
        <f>IFERROR(__xludf.DUMMYFUNCTION("""COMPUTED_VALUE"""),"Move to Section")</f>
        <v>Move to Section</v>
      </c>
      <c r="G82" s="7" t="str">
        <f>IFERROR(__xludf.DUMMYFUNCTION("""COMPUTED_VALUE"""),"M")</f>
        <v>M</v>
      </c>
      <c r="H82" s="7" t="str">
        <f>IFERROR(__xludf.DUMMYFUNCTION("""COMPUTED_VALUE"""),"Ankit")</f>
        <v>Ankit</v>
      </c>
      <c r="I82" s="7" t="str">
        <f>IFERROR(__xludf.DUMMYFUNCTION("""COMPUTED_VALUE"""),"UI")</f>
        <v>UI</v>
      </c>
      <c r="J82" s="7" t="str">
        <f>IFERROR(__xludf.DUMMYFUNCTION("""COMPUTED_VALUE"""),"")</f>
        <v/>
      </c>
      <c r="K82" s="7" t="str">
        <f>IFERROR(__xludf.DUMMYFUNCTION("""COMPUTED_VALUE"""),"Verify UI of reorder question pop up")</f>
        <v>Verify UI of reorder question pop up</v>
      </c>
      <c r="L82" s="7" t="str">
        <f>IFERROR(__xludf.DUMMYFUNCTION("""COMPUTED_VALUE"""),"1. After opening of Move to section pop up.
2. Then open Reorder Question")</f>
        <v>1. After opening of Move to section pop up.
2. Then open Reorder Question</v>
      </c>
      <c r="M82" s="7" t="str">
        <f>IFERROR(__xludf.DUMMYFUNCTION("""COMPUTED_VALUE"""),"UI should be consistent")</f>
        <v>UI should be consistent</v>
      </c>
      <c r="N82" s="7" t="str">
        <f>IFERROR(__xludf.DUMMYFUNCTION("""COMPUTED_VALUE"""),"")</f>
        <v/>
      </c>
      <c r="O82" s="7" t="str">
        <f>IFERROR(__xludf.DUMMYFUNCTION("""COMPUTED_VALUE"""),"UI change when open reorder question")</f>
        <v>UI change when open reorder question</v>
      </c>
      <c r="P82" s="7" t="str">
        <f>IFERROR(__xludf.DUMMYFUNCTION("""COMPUTED_VALUE"""),"Fail")</f>
        <v>Fail</v>
      </c>
      <c r="Q82" s="7" t="str">
        <f>IFERROR(__xludf.DUMMYFUNCTION("""COMPUTED_VALUE"""),"")</f>
        <v/>
      </c>
      <c r="R82" s="8" t="str">
        <f>IFERROR(__xludf.DUMMYFUNCTION("""COMPUTED_VALUE"""),"")</f>
        <v/>
      </c>
      <c r="S82" s="7" t="str">
        <f>IFERROR(__xludf.DUMMYFUNCTION("""COMPUTED_VALUE"""),"")</f>
        <v/>
      </c>
      <c r="T82" s="9" t="s">
        <v>10</v>
      </c>
      <c r="U82" s="7"/>
      <c r="V82" s="9" t="s">
        <v>11</v>
      </c>
      <c r="W82" s="9" t="s">
        <v>66</v>
      </c>
      <c r="X82" s="7"/>
      <c r="Y82" s="7"/>
      <c r="Z82" s="7"/>
    </row>
    <row r="83">
      <c r="A83" s="7" t="str">
        <f>IFERROR(__xludf.DUMMYFUNCTION("""COMPUTED_VALUE"""),"TCM_dKosh_General_SMF1_020_292")</f>
        <v>TCM_dKosh_General_SMF1_020_292</v>
      </c>
      <c r="B83" s="7" t="str">
        <f>IFERROR(__xludf.DUMMYFUNCTION("""COMPUTED_VALUE"""),"TP_dKosh_General_SMF1_020")</f>
        <v>TP_dKosh_General_SMF1_020</v>
      </c>
      <c r="C83" s="7">
        <f>IFERROR(__xludf.DUMMYFUNCTION("""COMPUTED_VALUE"""),292.0)</f>
        <v>292</v>
      </c>
      <c r="D83" s="7" t="str">
        <f>IFERROR(__xludf.DUMMYFUNCTION("""COMPUTED_VALUE"""),"Web, Mobile")</f>
        <v>Web, Mobile</v>
      </c>
      <c r="E83" s="7" t="str">
        <f>IFERROR(__xludf.DUMMYFUNCTION("""COMPUTED_VALUE"""),"Settings")</f>
        <v>Settings</v>
      </c>
      <c r="F83" s="7" t="str">
        <f>IFERROR(__xludf.DUMMYFUNCTION("""COMPUTED_VALUE"""),"Reorder Question")</f>
        <v>Reorder Question</v>
      </c>
      <c r="G83" s="7" t="str">
        <f>IFERROR(__xludf.DUMMYFUNCTION("""COMPUTED_VALUE"""),"M")</f>
        <v>M</v>
      </c>
      <c r="H83" s="7" t="str">
        <f>IFERROR(__xludf.DUMMYFUNCTION("""COMPUTED_VALUE"""),"Ankit")</f>
        <v>Ankit</v>
      </c>
      <c r="I83" s="7" t="str">
        <f>IFERROR(__xludf.DUMMYFUNCTION("""COMPUTED_VALUE"""),"UI")</f>
        <v>UI</v>
      </c>
      <c r="J83" s="7" t="str">
        <f>IFERROR(__xludf.DUMMYFUNCTION("""COMPUTED_VALUE"""),"")</f>
        <v/>
      </c>
      <c r="K83" s="7" t="str">
        <f>IFERROR(__xludf.DUMMYFUNCTION("""COMPUTED_VALUE"""),"Verify Caption, Place holder, type of Reorder Question link in Settings.")</f>
        <v>Verify Caption, Place holder, type of Reorder Question link in Settings.</v>
      </c>
      <c r="L83" s="7" t="str">
        <f>IFERROR(__xludf.DUMMYFUNCTION("""COMPUTED_VALUE"""),"1. Go to manage form list.
2. Select a form.
3. Select question type.
4. Click on Settings icon.
5. Verify the field.
")</f>
        <v>1. Go to manage form list.
2. Select a form.
3. Select question type.
4. Click on Settings icon.
5. Verify the field.
</v>
      </c>
      <c r="M83" s="7" t="str">
        <f>IFERROR(__xludf.DUMMYFUNCTION("""COMPUTED_VALUE"""),"Caption: Reorder Question
Control type: link")</f>
        <v>Caption: Reorder Question
Control type: link</v>
      </c>
      <c r="N83" s="7" t="str">
        <f>IFERROR(__xludf.DUMMYFUNCTION("""COMPUTED_VALUE"""),"")</f>
        <v/>
      </c>
      <c r="O83" s="7" t="str">
        <f>IFERROR(__xludf.DUMMYFUNCTION("""COMPUTED_VALUE"""),"Caption not same
Showing ""Set Section Sequence""")</f>
        <v>Caption not same
Showing "Set Section Sequence"</v>
      </c>
      <c r="P83" s="7" t="str">
        <f>IFERROR(__xludf.DUMMYFUNCTION("""COMPUTED_VALUE"""),"Fail")</f>
        <v>Fail</v>
      </c>
      <c r="Q83" s="7" t="str">
        <f>IFERROR(__xludf.DUMMYFUNCTION("""COMPUTED_VALUE"""),"")</f>
        <v/>
      </c>
      <c r="R83" s="8" t="str">
        <f>IFERROR(__xludf.DUMMYFUNCTION("""COMPUTED_VALUE"""),"")</f>
        <v/>
      </c>
      <c r="S83" s="7" t="str">
        <f>IFERROR(__xludf.DUMMYFUNCTION("""COMPUTED_VALUE"""),"")</f>
        <v/>
      </c>
      <c r="T83" s="9" t="s">
        <v>84</v>
      </c>
      <c r="U83" s="7"/>
      <c r="V83" s="7"/>
      <c r="W83" s="9" t="s">
        <v>66</v>
      </c>
      <c r="X83" s="7"/>
      <c r="Y83" s="7"/>
      <c r="Z83" s="7"/>
    </row>
    <row r="84">
      <c r="A84" s="7" t="str">
        <f>IFERROR(__xludf.DUMMYFUNCTION("""COMPUTED_VALUE"""),"TCM_dKosh_General_SMF1_020_296")</f>
        <v>TCM_dKosh_General_SMF1_020_296</v>
      </c>
      <c r="B84" s="7" t="str">
        <f>IFERROR(__xludf.DUMMYFUNCTION("""COMPUTED_VALUE"""),"TP_dKosh_General_SMF1_020")</f>
        <v>TP_dKosh_General_SMF1_020</v>
      </c>
      <c r="C84" s="7">
        <f>IFERROR(__xludf.DUMMYFUNCTION("""COMPUTED_VALUE"""),296.0)</f>
        <v>296</v>
      </c>
      <c r="D84" s="7" t="str">
        <f>IFERROR(__xludf.DUMMYFUNCTION("""COMPUTED_VALUE"""),"Web, Mobile")</f>
        <v>Web, Mobile</v>
      </c>
      <c r="E84" s="7" t="str">
        <f>IFERROR(__xludf.DUMMYFUNCTION("""COMPUTED_VALUE"""),"Settings")</f>
        <v>Settings</v>
      </c>
      <c r="F84" s="7" t="str">
        <f>IFERROR(__xludf.DUMMYFUNCTION("""COMPUTED_VALUE"""),"Reorder Question")</f>
        <v>Reorder Question</v>
      </c>
      <c r="G84" s="7" t="str">
        <f>IFERROR(__xludf.DUMMYFUNCTION("""COMPUTED_VALUE"""),"M")</f>
        <v>M</v>
      </c>
      <c r="H84" s="7" t="str">
        <f>IFERROR(__xludf.DUMMYFUNCTION("""COMPUTED_VALUE"""),"Ankit")</f>
        <v>Ankit</v>
      </c>
      <c r="I84" s="7" t="str">
        <f>IFERROR(__xludf.DUMMYFUNCTION("""COMPUTED_VALUE"""),"UI")</f>
        <v>UI</v>
      </c>
      <c r="J84" s="7" t="str">
        <f>IFERROR(__xludf.DUMMYFUNCTION("""COMPUTED_VALUE"""),"")</f>
        <v/>
      </c>
      <c r="K84" s="7" t="str">
        <f>IFERROR(__xludf.DUMMYFUNCTION("""COMPUTED_VALUE"""),"Verify the count of the total question in currect section.")</f>
        <v>Verify the count of the total question in currect section.</v>
      </c>
      <c r="L84" s="7" t="str">
        <f>IFERROR(__xludf.DUMMYFUNCTION("""COMPUTED_VALUE"""),"1. Go to manage form list.
2. Click on Modify form in Action.
3. Select any question.
4. Click on Settings icon.
5. Click on Move to Section button
6. Verify the data in the form.")</f>
        <v>1. Go to manage form list.
2. Click on Modify form in Action.
3. Select any question.
4. Click on Settings icon.
5. Click on Move to Section button
6. Verify the data in the form.</v>
      </c>
      <c r="M84" s="7" t="str">
        <f>IFERROR(__xludf.DUMMYFUNCTION("""COMPUTED_VALUE"""),"Total count should be displayed. For ex
5 Questions")</f>
        <v>Total count should be displayed. For ex
5 Questions</v>
      </c>
      <c r="N84" s="7" t="str">
        <f>IFERROR(__xludf.DUMMYFUNCTION("""COMPUTED_VALUE"""),"")</f>
        <v/>
      </c>
      <c r="O84" s="7" t="str">
        <f>IFERROR(__xludf.DUMMYFUNCTION("""COMPUTED_VALUE"""),"No count displayed")</f>
        <v>No count displayed</v>
      </c>
      <c r="P84" s="7" t="str">
        <f>IFERROR(__xludf.DUMMYFUNCTION("""COMPUTED_VALUE"""),"Fail")</f>
        <v>Fail</v>
      </c>
      <c r="Q84" s="7" t="str">
        <f>IFERROR(__xludf.DUMMYFUNCTION("""COMPUTED_VALUE"""),"")</f>
        <v/>
      </c>
      <c r="R84" s="8" t="str">
        <f>IFERROR(__xludf.DUMMYFUNCTION("""COMPUTED_VALUE"""),"")</f>
        <v/>
      </c>
      <c r="S84" s="7" t="str">
        <f>IFERROR(__xludf.DUMMYFUNCTION("""COMPUTED_VALUE"""),"")</f>
        <v/>
      </c>
      <c r="T84" s="9" t="s">
        <v>10</v>
      </c>
      <c r="U84" s="7"/>
      <c r="V84" s="9" t="s">
        <v>11</v>
      </c>
      <c r="W84" s="9" t="s">
        <v>66</v>
      </c>
      <c r="X84" s="7"/>
      <c r="Y84" s="7"/>
      <c r="Z84" s="7"/>
    </row>
    <row r="85">
      <c r="A85" s="7" t="str">
        <f>IFERROR(__xludf.DUMMYFUNCTION("""COMPUTED_VALUE"""),"TCM_dKosh_General_SMF1_017_307")</f>
        <v>TCM_dKosh_General_SMF1_017_307</v>
      </c>
      <c r="B85" s="7" t="str">
        <f>IFERROR(__xludf.DUMMYFUNCTION("""COMPUTED_VALUE"""),"TP_dKosh_General_SMF1_017")</f>
        <v>TP_dKosh_General_SMF1_017</v>
      </c>
      <c r="C85" s="7">
        <f>IFERROR(__xludf.DUMMYFUNCTION("""COMPUTED_VALUE"""),307.0)</f>
        <v>307</v>
      </c>
      <c r="D85" s="7" t="str">
        <f>IFERROR(__xludf.DUMMYFUNCTION("""COMPUTED_VALUE"""),"Web, Mobile")</f>
        <v>Web, Mobile</v>
      </c>
      <c r="E85" s="7" t="str">
        <f>IFERROR(__xludf.DUMMYFUNCTION("""COMPUTED_VALUE"""),"Question Panel")</f>
        <v>Question Panel</v>
      </c>
      <c r="F85" s="7" t="str">
        <f>IFERROR(__xludf.DUMMYFUNCTION("""COMPUTED_VALUE"""),"Enabled")</f>
        <v>Enabled</v>
      </c>
      <c r="G85" s="7" t="str">
        <f>IFERROR(__xludf.DUMMYFUNCTION("""COMPUTED_VALUE"""),"M")</f>
        <v>M</v>
      </c>
      <c r="H85" s="7" t="str">
        <f>IFERROR(__xludf.DUMMYFUNCTION("""COMPUTED_VALUE"""),"Ankit")</f>
        <v>Ankit</v>
      </c>
      <c r="I85" s="7" t="str">
        <f>IFERROR(__xludf.DUMMYFUNCTION("""COMPUTED_VALUE"""),"UI")</f>
        <v>UI</v>
      </c>
      <c r="J85" s="7" t="str">
        <f>IFERROR(__xludf.DUMMYFUNCTION("""COMPUTED_VALUE"""),"")</f>
        <v/>
      </c>
      <c r="K85" s="7" t="str">
        <f>IFERROR(__xludf.DUMMYFUNCTION("""COMPUTED_VALUE"""),"Verify the Caption, Placeholder, Control type of the Enabled field.")</f>
        <v>Verify the Caption, Placeholder, Control type of the Enabled field.</v>
      </c>
      <c r="L85" s="7" t="str">
        <f>IFERROR(__xludf.DUMMYFUNCTION("""COMPUTED_VALUE"""),"1. Go to manage form list.
2. Select a form.
3. Click on Create Question.
4. Select question type.
5. Verify the Enabled field.")</f>
        <v>1. Go to manage form list.
2. Select a form.
3. Click on Create Question.
4. Select question type.
5. Verify the Enabled field.</v>
      </c>
      <c r="M85" s="7" t="str">
        <f>IFERROR(__xludf.DUMMYFUNCTION("""COMPUTED_VALUE"""),"Caption: Enabled
Control Type: Toggle button")</f>
        <v>Caption: Enabled
Control Type: Toggle button</v>
      </c>
      <c r="N85" s="7" t="str">
        <f>IFERROR(__xludf.DUMMYFUNCTION("""COMPUTED_VALUE"""),"")</f>
        <v/>
      </c>
      <c r="O85" s="7" t="str">
        <f>IFERROR(__xludf.DUMMYFUNCTION("""COMPUTED_VALUE"""),"Caption is different 
Showing ""Disabled
")</f>
        <v>Caption is different 
Showing "Disabled
</v>
      </c>
      <c r="P85" s="7" t="str">
        <f>IFERROR(__xludf.DUMMYFUNCTION("""COMPUTED_VALUE"""),"Fail")</f>
        <v>Fail</v>
      </c>
      <c r="Q85" s="7" t="str">
        <f>IFERROR(__xludf.DUMMYFUNCTION("""COMPUTED_VALUE"""),"")</f>
        <v/>
      </c>
      <c r="R85" s="8" t="str">
        <f>IFERROR(__xludf.DUMMYFUNCTION("""COMPUTED_VALUE"""),"")</f>
        <v/>
      </c>
      <c r="S85" s="7" t="str">
        <f>IFERROR(__xludf.DUMMYFUNCTION("""COMPUTED_VALUE"""),"")</f>
        <v/>
      </c>
      <c r="T85" s="9" t="s">
        <v>10</v>
      </c>
      <c r="U85" s="7"/>
      <c r="V85" s="9" t="s">
        <v>11</v>
      </c>
      <c r="W85" s="9" t="s">
        <v>66</v>
      </c>
      <c r="X85" s="7"/>
      <c r="Y85" s="7"/>
      <c r="Z85" s="7"/>
    </row>
    <row r="86">
      <c r="A86" s="7" t="str">
        <f>IFERROR(__xludf.DUMMYFUNCTION("""COMPUTED_VALUE"""),"TCM_dKosh_General_SMF1_017_310")</f>
        <v>TCM_dKosh_General_SMF1_017_310</v>
      </c>
      <c r="B86" s="7" t="str">
        <f>IFERROR(__xludf.DUMMYFUNCTION("""COMPUTED_VALUE"""),"TP_dKosh_General_SMF1_017")</f>
        <v>TP_dKosh_General_SMF1_017</v>
      </c>
      <c r="C86" s="7">
        <f>IFERROR(__xludf.DUMMYFUNCTION("""COMPUTED_VALUE"""),310.0)</f>
        <v>310</v>
      </c>
      <c r="D86" s="7" t="str">
        <f>IFERROR(__xludf.DUMMYFUNCTION("""COMPUTED_VALUE"""),"Web, Mobile")</f>
        <v>Web, Mobile</v>
      </c>
      <c r="E86" s="7" t="str">
        <f>IFERROR(__xludf.DUMMYFUNCTION("""COMPUTED_VALUE"""),"Question Panel")</f>
        <v>Question Panel</v>
      </c>
      <c r="F86" s="7" t="str">
        <f>IFERROR(__xludf.DUMMYFUNCTION("""COMPUTED_VALUE"""),"Hidden")</f>
        <v>Hidden</v>
      </c>
      <c r="G86" s="7" t="str">
        <f>IFERROR(__xludf.DUMMYFUNCTION("""COMPUTED_VALUE"""),"M")</f>
        <v>M</v>
      </c>
      <c r="H86" s="7" t="str">
        <f>IFERROR(__xludf.DUMMYFUNCTION("""COMPUTED_VALUE"""),"Ankit")</f>
        <v>Ankit</v>
      </c>
      <c r="I86" s="7" t="str">
        <f>IFERROR(__xludf.DUMMYFUNCTION("""COMPUTED_VALUE"""),"UI")</f>
        <v>UI</v>
      </c>
      <c r="J86" s="7" t="str">
        <f>IFERROR(__xludf.DUMMYFUNCTION("""COMPUTED_VALUE"""),"")</f>
        <v/>
      </c>
      <c r="K86" s="7" t="str">
        <f>IFERROR(__xludf.DUMMYFUNCTION("""COMPUTED_VALUE"""),"Verify the Caption, Placeholder, Control type of the Hidden field.")</f>
        <v>Verify the Caption, Placeholder, Control type of the Hidden field.</v>
      </c>
      <c r="L86" s="7" t="str">
        <f>IFERROR(__xludf.DUMMYFUNCTION("""COMPUTED_VALUE"""),"1. Go to manage form list.
2. Select a form.
3. Click on Create Question.
4. Select question type.
5. Verify the Hidden field.")</f>
        <v>1. Go to manage form list.
2. Select a form.
3. Click on Create Question.
4. Select question type.
5. Verify the Hidden field.</v>
      </c>
      <c r="M86" s="7" t="str">
        <f>IFERROR(__xludf.DUMMYFUNCTION("""COMPUTED_VALUE"""),"Caption: Hidden
Control Type: Toggle button")</f>
        <v>Caption: Hidden
Control Type: Toggle button</v>
      </c>
      <c r="N86" s="7" t="str">
        <f>IFERROR(__xludf.DUMMYFUNCTION("""COMPUTED_VALUE"""),"")</f>
        <v/>
      </c>
      <c r="O86" s="7" t="str">
        <f>IFERROR(__xludf.DUMMYFUNCTION("""COMPUTED_VALUE"""),"Caption not matched ( extra ?)")</f>
        <v>Caption not matched ( extra ?)</v>
      </c>
      <c r="P86" s="7" t="str">
        <f>IFERROR(__xludf.DUMMYFUNCTION("""COMPUTED_VALUE"""),"Fail")</f>
        <v>Fail</v>
      </c>
      <c r="Q86" s="7" t="str">
        <f>IFERROR(__xludf.DUMMYFUNCTION("""COMPUTED_VALUE"""),"")</f>
        <v/>
      </c>
      <c r="R86" s="8" t="str">
        <f>IFERROR(__xludf.DUMMYFUNCTION("""COMPUTED_VALUE"""),"")</f>
        <v/>
      </c>
      <c r="S86" s="7" t="str">
        <f>IFERROR(__xludf.DUMMYFUNCTION("""COMPUTED_VALUE"""),"")</f>
        <v/>
      </c>
      <c r="T86" s="9" t="s">
        <v>10</v>
      </c>
      <c r="U86" s="7"/>
      <c r="V86" s="9" t="s">
        <v>11</v>
      </c>
      <c r="W86" s="9" t="s">
        <v>66</v>
      </c>
      <c r="X86" s="7"/>
      <c r="Y86" s="7"/>
      <c r="Z86" s="7"/>
    </row>
    <row r="87">
      <c r="A87" s="7" t="str">
        <f>IFERROR(__xludf.DUMMYFUNCTION("""COMPUTED_VALUE"""),"TCM_dKosh_General_SMF1_017_312")</f>
        <v>TCM_dKosh_General_SMF1_017_312</v>
      </c>
      <c r="B87" s="7" t="str">
        <f>IFERROR(__xludf.DUMMYFUNCTION("""COMPUTED_VALUE"""),"TP_dKosh_General_SMF1_017")</f>
        <v>TP_dKosh_General_SMF1_017</v>
      </c>
      <c r="C87" s="7">
        <f>IFERROR(__xludf.DUMMYFUNCTION("""COMPUTED_VALUE"""),312.0)</f>
        <v>312</v>
      </c>
      <c r="D87" s="7" t="str">
        <f>IFERROR(__xludf.DUMMYFUNCTION("""COMPUTED_VALUE"""),"Web, Mobile")</f>
        <v>Web, Mobile</v>
      </c>
      <c r="E87" s="7" t="str">
        <f>IFERROR(__xludf.DUMMYFUNCTION("""COMPUTED_VALUE"""),"Question Panel")</f>
        <v>Question Panel</v>
      </c>
      <c r="F87" s="7" t="str">
        <f>IFERROR(__xludf.DUMMYFUNCTION("""COMPUTED_VALUE"""),"Hidden")</f>
        <v>Hidden</v>
      </c>
      <c r="G87" s="7" t="str">
        <f>IFERROR(__xludf.DUMMYFUNCTION("""COMPUTED_VALUE"""),"M")</f>
        <v>M</v>
      </c>
      <c r="H87" s="7" t="str">
        <f>IFERROR(__xludf.DUMMYFUNCTION("""COMPUTED_VALUE"""),"Ankit")</f>
        <v>Ankit</v>
      </c>
      <c r="I87" s="7" t="str">
        <f>IFERROR(__xludf.DUMMYFUNCTION("""COMPUTED_VALUE"""),"UI")</f>
        <v>UI</v>
      </c>
      <c r="J87" s="7" t="str">
        <f>IFERROR(__xludf.DUMMYFUNCTION("""COMPUTED_VALUE"""),"")</f>
        <v/>
      </c>
      <c r="K87" s="7" t="str">
        <f>IFERROR(__xludf.DUMMYFUNCTION("""COMPUTED_VALUE"""),"Verify the displaying order of Required, Enabled and Hidden field.")</f>
        <v>Verify the displaying order of Required, Enabled and Hidden field.</v>
      </c>
      <c r="L87" s="7" t="str">
        <f>IFERROR(__xludf.DUMMYFUNCTION("""COMPUTED_VALUE"""),"1. Go to manage form list.
2. Select a form.
3. Click on Create Question.
4. Select question type.
5. Verify the Hidden field.
6. Click on Hidden field.")</f>
        <v>1. Go to manage form list.
2. Select a form.
3. Click on Create Question.
4. Select question type.
5. Verify the Hidden field.
6. Click on Hidden field.</v>
      </c>
      <c r="M87" s="7" t="str">
        <f>IFERROR(__xludf.DUMMYFUNCTION("""COMPUTED_VALUE"""),"Elemen should be displayed in below order
Required
Enabled
Hidden")</f>
        <v>Elemen should be displayed in below order
Required
Enabled
Hidden</v>
      </c>
      <c r="N87" s="7" t="str">
        <f>IFERROR(__xludf.DUMMYFUNCTION("""COMPUTED_VALUE"""),"")</f>
        <v/>
      </c>
      <c r="O87" s="7" t="str">
        <f>IFERROR(__xludf.DUMMYFUNCTION("""COMPUTED_VALUE"""),"Order is different
")</f>
        <v>Order is different
</v>
      </c>
      <c r="P87" s="7" t="str">
        <f>IFERROR(__xludf.DUMMYFUNCTION("""COMPUTED_VALUE"""),"Fail")</f>
        <v>Fail</v>
      </c>
      <c r="Q87" s="7" t="str">
        <f>IFERROR(__xludf.DUMMYFUNCTION("""COMPUTED_VALUE"""),"")</f>
        <v/>
      </c>
      <c r="R87" s="8" t="str">
        <f>IFERROR(__xludf.DUMMYFUNCTION("""COMPUTED_VALUE"""),"")</f>
        <v/>
      </c>
      <c r="S87" s="7" t="str">
        <f>IFERROR(__xludf.DUMMYFUNCTION("""COMPUTED_VALUE"""),"")</f>
        <v/>
      </c>
      <c r="T87" s="9" t="s">
        <v>10</v>
      </c>
      <c r="U87" s="7"/>
      <c r="V87" s="9" t="s">
        <v>11</v>
      </c>
      <c r="W87" s="9" t="s">
        <v>66</v>
      </c>
      <c r="X87" s="7"/>
      <c r="Y87" s="7"/>
      <c r="Z87" s="7"/>
    </row>
    <row r="88">
      <c r="A88" s="7" t="str">
        <f>IFERROR(__xludf.DUMMYFUNCTION("""COMPUTED_VALUE"""),"TCM_dKosh_General_SMF1_017_314")</f>
        <v>TCM_dKosh_General_SMF1_017_314</v>
      </c>
      <c r="B88" s="7" t="str">
        <f>IFERROR(__xludf.DUMMYFUNCTION("""COMPUTED_VALUE"""),"TP_dKosh_General_SMF1_017")</f>
        <v>TP_dKosh_General_SMF1_017</v>
      </c>
      <c r="C88" s="7">
        <f>IFERROR(__xludf.DUMMYFUNCTION("""COMPUTED_VALUE"""),314.0)</f>
        <v>314</v>
      </c>
      <c r="D88" s="7" t="str">
        <f>IFERROR(__xludf.DUMMYFUNCTION("""COMPUTED_VALUE"""),"Web, Mobile")</f>
        <v>Web, Mobile</v>
      </c>
      <c r="E88" s="7" t="str">
        <f>IFERROR(__xludf.DUMMYFUNCTION("""COMPUTED_VALUE"""),"")</f>
        <v/>
      </c>
      <c r="F88" s="7" t="str">
        <f>IFERROR(__xludf.DUMMYFUNCTION("""COMPUTED_VALUE"""),"")</f>
        <v/>
      </c>
      <c r="G88" s="7" t="str">
        <f>IFERROR(__xludf.DUMMYFUNCTION("""COMPUTED_VALUE"""),"M")</f>
        <v>M</v>
      </c>
      <c r="H88" s="7" t="str">
        <f>IFERROR(__xludf.DUMMYFUNCTION("""COMPUTED_VALUE"""),"Jaikishan")</f>
        <v>Jaikishan</v>
      </c>
      <c r="I88" s="7" t="str">
        <f>IFERROR(__xludf.DUMMYFUNCTION("""COMPUTED_VALUE"""),"Validation")</f>
        <v>Validation</v>
      </c>
      <c r="J88" s="7" t="str">
        <f>IFERROR(__xludf.DUMMYFUNCTION("""COMPUTED_VALUE"""),"")</f>
        <v/>
      </c>
      <c r="K88" s="7" t="str">
        <f>IFERROR(__xludf.DUMMYFUNCTION("""COMPUTED_VALUE"""),"Verify, Height &amp; Width of image when Insert an Image.")</f>
        <v>Verify, Height &amp; Width of image when Insert an Image.</v>
      </c>
      <c r="L88" s="7" t="str">
        <f>IFERROR(__xludf.DUMMYFUNCTION("""COMPUTED_VALUE"""),"")</f>
        <v/>
      </c>
      <c r="M88" s="7" t="str">
        <f>IFERROR(__xludf.DUMMYFUNCTION("""COMPUTED_VALUE"""),"Height &amp; Width should be constant for every inserted image.")</f>
        <v>Height &amp; Width should be constant for every inserted image.</v>
      </c>
      <c r="N88" s="7" t="str">
        <f>IFERROR(__xludf.DUMMYFUNCTION("""COMPUTED_VALUE"""),"")</f>
        <v/>
      </c>
      <c r="O88" s="7" t="str">
        <f>IFERROR(__xludf.DUMMYFUNCTION("""COMPUTED_VALUE"""),"For large width image, it break the UI
")</f>
        <v>For large width image, it break the UI
</v>
      </c>
      <c r="P88" s="7" t="str">
        <f>IFERROR(__xludf.DUMMYFUNCTION("""COMPUTED_VALUE"""),"Fail")</f>
        <v>Fail</v>
      </c>
      <c r="Q88" s="7" t="str">
        <f>IFERROR(__xludf.DUMMYFUNCTION("""COMPUTED_VALUE"""),"")</f>
        <v/>
      </c>
      <c r="R88" s="8" t="str">
        <f>IFERROR(__xludf.DUMMYFUNCTION("""COMPUTED_VALUE"""),"")</f>
        <v/>
      </c>
      <c r="S88" s="7" t="str">
        <f>IFERROR(__xludf.DUMMYFUNCTION("""COMPUTED_VALUE"""),"")</f>
        <v/>
      </c>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86"/>
    <col customWidth="1" min="2" max="2" width="20.29"/>
    <col customWidth="1" min="3" max="3" width="10.0"/>
    <col customWidth="1" min="4" max="4" width="13.0"/>
    <col customWidth="1" min="5" max="5" width="15.29"/>
    <col customWidth="1" min="6" max="6" width="17.71"/>
    <col customWidth="1" min="7" max="7" width="9.14"/>
    <col customWidth="1" min="8" max="8" width="9.86"/>
    <col customWidth="1" min="9" max="9" width="11.43"/>
    <col customWidth="1" min="10" max="10" width="30.57"/>
    <col customWidth="1" min="11" max="11" width="27.0"/>
    <col customWidth="1" min="12" max="12" width="35.29"/>
    <col customWidth="1" min="13" max="13" width="32.29"/>
    <col customWidth="1" min="14" max="14" width="18.71"/>
    <col customWidth="1" min="15" max="15" width="30.43"/>
    <col customWidth="1" min="16" max="16" width="10.71"/>
  </cols>
  <sheetData>
    <row r="1">
      <c r="A1" s="1" t="str">
        <f>IFERROR(__xludf.DUMMYFUNCTION("Query(IMPORTRANGE(""https://docs.google.com/spreadsheets/d/1jEbAG0bEllXTKAGJlqI8FhpDdA5pI2ez4m_dRKlp78w/edit#gid=1616990837"", ""Test Case - Response View!A:S""), ""select* where Col16= 'Fail' OR Col16= '?'"")"),"Test Case ID")</f>
        <v>Test Case ID</v>
      </c>
      <c r="B1" s="2" t="str">
        <f>IFERROR(__xludf.DUMMYFUNCTION("""COMPUTED_VALUE"""),"Test Plan ID")</f>
        <v>Test Plan ID</v>
      </c>
      <c r="C1" s="2" t="str">
        <f>IFERROR(__xludf.DUMMYFUNCTION("""COMPUTED_VALUE"""),"TC #")</f>
        <v>TC #</v>
      </c>
      <c r="D1" s="2" t="str">
        <f>IFERROR(__xludf.DUMMYFUNCTION("""COMPUTED_VALUE"""),"Platform")</f>
        <v>Platform</v>
      </c>
      <c r="E1" s="2" t="str">
        <f>IFERROR(__xludf.DUMMYFUNCTION("""COMPUTED_VALUE"""),"Sub Module Features")</f>
        <v>Sub Module Features</v>
      </c>
      <c r="F1" s="2" t="str">
        <f>IFERROR(__xludf.DUMMYFUNCTION("""COMPUTED_VALUE"""),"Action")</f>
        <v>Action</v>
      </c>
      <c r="G1" s="2" t="str">
        <f>IFERROR(__xludf.DUMMYFUNCTION("""COMPUTED_VALUE"""),"Test Mode")</f>
        <v>Test Mode</v>
      </c>
      <c r="H1" s="2" t="str">
        <f>IFERROR(__xludf.DUMMYFUNCTION("""COMPUTED_VALUE"""),"Created By")</f>
        <v>Created By</v>
      </c>
      <c r="I1" s="2" t="str">
        <f>IFERROR(__xludf.DUMMYFUNCTION("""COMPUTED_VALUE"""),"Test Case Type")</f>
        <v>Test Case Type</v>
      </c>
      <c r="J1" s="2" t="str">
        <f>IFERROR(__xludf.DUMMYFUNCTION("""COMPUTED_VALUE"""),"Pre Condition")</f>
        <v>Pre Condition</v>
      </c>
      <c r="K1" s="2" t="str">
        <f>IFERROR(__xludf.DUMMYFUNCTION("""COMPUTED_VALUE"""),"Test Case Description")</f>
        <v>Test Case Description</v>
      </c>
      <c r="L1" s="2" t="str">
        <f>IFERROR(__xludf.DUMMYFUNCTION("""COMPUTED_VALUE"""),"Steps")</f>
        <v>Steps</v>
      </c>
      <c r="M1" s="2" t="str">
        <f>IFERROR(__xludf.DUMMYFUNCTION("""COMPUTED_VALUE"""),"Expected Result")</f>
        <v>Expected Result</v>
      </c>
      <c r="N1" s="2" t="str">
        <f>IFERROR(__xludf.DUMMYFUNCTION("""COMPUTED_VALUE"""),"Conditions / Formula / Query")</f>
        <v>Conditions / Formula / Query</v>
      </c>
      <c r="O1" s="2" t="str">
        <f>IFERROR(__xludf.DUMMYFUNCTION("""COMPUTED_VALUE"""),"Actual Result")</f>
        <v>Actual Result</v>
      </c>
      <c r="P1" s="2" t="str">
        <f>IFERROR(__xludf.DUMMYFUNCTION("""COMPUTED_VALUE"""),"Pass/Fail")</f>
        <v>Pass/Fail</v>
      </c>
      <c r="Q1" s="2" t="str">
        <f>IFERROR(__xludf.DUMMYFUNCTION("""COMPUTED_VALUE"""),"Executed By")</f>
        <v>Executed By</v>
      </c>
      <c r="R1" s="2" t="str">
        <f>IFERROR(__xludf.DUMMYFUNCTION("""COMPUTED_VALUE"""),"Date Execution")</f>
        <v>Date Execution</v>
      </c>
      <c r="S1" s="2" t="str">
        <f>IFERROR(__xludf.DUMMYFUNCTION("""COMPUTED_VALUE"""),"Release")</f>
        <v>Release</v>
      </c>
      <c r="T1" s="5" t="s">
        <v>0</v>
      </c>
      <c r="U1" s="5" t="s">
        <v>1</v>
      </c>
      <c r="V1" s="7"/>
      <c r="W1" s="7"/>
      <c r="X1" s="7"/>
      <c r="Y1" s="7"/>
      <c r="Z1" s="7"/>
    </row>
    <row r="2">
      <c r="A2" s="7" t="str">
        <f>IFERROR(__xludf.DUMMYFUNCTION("""COMPUTED_VALUE"""),"TCM_dKosh_General_SMF1_030_002")</f>
        <v>TCM_dKosh_General_SMF1_030_002</v>
      </c>
      <c r="B2" s="7" t="str">
        <f>IFERROR(__xludf.DUMMYFUNCTION("""COMPUTED_VALUE"""),"TP_dKosh_General_SMF1_030")</f>
        <v>TP_dKosh_General_SMF1_030</v>
      </c>
      <c r="C2" s="7">
        <f>IFERROR(__xludf.DUMMYFUNCTION("""COMPUTED_VALUE"""),2.0)</f>
        <v>2</v>
      </c>
      <c r="D2" s="7" t="str">
        <f>IFERROR(__xludf.DUMMYFUNCTION("""COMPUTED_VALUE"""),"")</f>
        <v/>
      </c>
      <c r="E2" s="7" t="str">
        <f>IFERROR(__xludf.DUMMYFUNCTION("""COMPUTED_VALUE"""),"Response Form List")</f>
        <v>Response Form List</v>
      </c>
      <c r="F2" s="7" t="str">
        <f>IFERROR(__xludf.DUMMYFUNCTION("""COMPUTED_VALUE"""),"Check Form Availabilty")</f>
        <v>Check Form Availabilty</v>
      </c>
      <c r="G2" s="7" t="str">
        <f>IFERROR(__xludf.DUMMYFUNCTION("""COMPUTED_VALUE"""),"M")</f>
        <v>M</v>
      </c>
      <c r="H2" s="7" t="str">
        <f>IFERROR(__xludf.DUMMYFUNCTION("""COMPUTED_VALUE"""),"Ankit")</f>
        <v>Ankit</v>
      </c>
      <c r="I2" s="7" t="str">
        <f>IFERROR(__xludf.DUMMYFUNCTION("""COMPUTED_VALUE"""),"Functional")</f>
        <v>Functional</v>
      </c>
      <c r="J2" s="7" t="str">
        <f>IFERROR(__xludf.DUMMYFUNCTION("""COMPUTED_VALUE"""),"1. At least one form must be created.
2. Atleast one respondent set is mapped with that form.
3. Atleast one user should be mapped with respondent set.")</f>
        <v>1. At least one form must be created.
2. Atleast one respondent set is mapped with that form.
3. Atleast one user should be mapped with respondent set.</v>
      </c>
      <c r="K2" s="7" t="str">
        <f>IFERROR(__xludf.DUMMYFUNCTION("""COMPUTED_VALUE"""),"Verify, can respondent submit his response on form with Inactive status.")</f>
        <v>Verify, can respondent submit his response on form with Inactive status.</v>
      </c>
      <c r="L2" s="7" t="str">
        <f>IFERROR(__xludf.DUMMYFUNCTION("""COMPUTED_VALUE"""),"1. Go to manage form list.
2. Click on setting icon of form.
3. Select 'Manage Respondent'
4. Add respondent with that form.
5. Change status of Form to 'Inactive'
6. Try to submit response.")</f>
        <v>1. Go to manage form list.
2. Click on setting icon of form.
3. Select 'Manage Respondent'
4. Add respondent with that form.
5. Change status of Form to 'Inactive'
6. Try to submit response.</v>
      </c>
      <c r="M2" s="7" t="str">
        <f>IFERROR(__xludf.DUMMYFUNCTION("""COMPUTED_VALUE"""),"Responses can't be submitted. With Inactive status of form, respondent can delete and view his responses.")</f>
        <v>Responses can't be submitted. With Inactive status of form, respondent can delete and view his responses.</v>
      </c>
      <c r="N2" s="7" t="str">
        <f>IFERROR(__xludf.DUMMYFUNCTION("""COMPUTED_VALUE"""),"")</f>
        <v/>
      </c>
      <c r="O2" s="7" t="str">
        <f>IFERROR(__xludf.DUMMYFUNCTION("""COMPUTED_VALUE"""),"If form already open then form status change to inactive then form save successfully. 
")</f>
        <v>If form already open then form status change to inactive then form save successfully. 
</v>
      </c>
      <c r="P2" s="7" t="str">
        <f>IFERROR(__xludf.DUMMYFUNCTION("""COMPUTED_VALUE"""),"Fail")</f>
        <v>Fail</v>
      </c>
      <c r="Q2" s="7" t="str">
        <f>IFERROR(__xludf.DUMMYFUNCTION("""COMPUTED_VALUE"""),"Jaikishan")</f>
        <v>Jaikishan</v>
      </c>
      <c r="R2" s="8">
        <f>IFERROR(__xludf.DUMMYFUNCTION("""COMPUTED_VALUE"""),43809.0)</f>
        <v>43809</v>
      </c>
      <c r="S2" s="7" t="str">
        <f>IFERROR(__xludf.DUMMYFUNCTION("""COMPUTED_VALUE"""),"")</f>
        <v/>
      </c>
      <c r="T2" s="9" t="s">
        <v>10</v>
      </c>
      <c r="U2" s="7"/>
      <c r="V2" s="7"/>
      <c r="W2" s="7"/>
      <c r="X2" s="7"/>
      <c r="Y2" s="7"/>
      <c r="Z2" s="7"/>
    </row>
    <row r="3">
      <c r="A3" s="7" t="str">
        <f>IFERROR(__xludf.DUMMYFUNCTION("""COMPUTED_VALUE"""),"TCM_dKosh_General_SMF1_030_004")</f>
        <v>TCM_dKosh_General_SMF1_030_004</v>
      </c>
      <c r="B3" s="7" t="str">
        <f>IFERROR(__xludf.DUMMYFUNCTION("""COMPUTED_VALUE"""),"TP_dKosh_General_SMF1_030")</f>
        <v>TP_dKosh_General_SMF1_030</v>
      </c>
      <c r="C3" s="7">
        <f>IFERROR(__xludf.DUMMYFUNCTION("""COMPUTED_VALUE"""),4.0)</f>
        <v>4</v>
      </c>
      <c r="D3" s="7" t="str">
        <f>IFERROR(__xludf.DUMMYFUNCTION("""COMPUTED_VALUE"""),"")</f>
        <v/>
      </c>
      <c r="E3" s="7" t="str">
        <f>IFERROR(__xludf.DUMMYFUNCTION("""COMPUTED_VALUE"""),"Response Form List")</f>
        <v>Response Form List</v>
      </c>
      <c r="F3" s="7" t="str">
        <f>IFERROR(__xludf.DUMMYFUNCTION("""COMPUTED_VALUE"""),"Check Form Availabilty")</f>
        <v>Check Form Availabilty</v>
      </c>
      <c r="G3" s="7" t="str">
        <f>IFERROR(__xludf.DUMMYFUNCTION("""COMPUTED_VALUE"""),"M")</f>
        <v>M</v>
      </c>
      <c r="H3" s="7" t="str">
        <f>IFERROR(__xludf.DUMMYFUNCTION("""COMPUTED_VALUE"""),"Ankit")</f>
        <v>Ankit</v>
      </c>
      <c r="I3" s="7" t="str">
        <f>IFERROR(__xludf.DUMMYFUNCTION("""COMPUTED_VALUE"""),"Functional")</f>
        <v>Functional</v>
      </c>
      <c r="J3" s="7" t="str">
        <f>IFERROR(__xludf.DUMMYFUNCTION("""COMPUTED_VALUE"""),"1. At least one form must be created.
2. Atleast one respondent set is mapped with that form.
3. Atleast one user should be mapped with respondent set.")</f>
        <v>1. At least one form must be created.
2. Atleast one respondent set is mapped with that form.
3. Atleast one user should be mapped with respondent set.</v>
      </c>
      <c r="K3" s="7" t="str">
        <f>IFERROR(__xludf.DUMMYFUNCTION("""COMPUTED_VALUE"""),"Verify, Form status become Inactive automatically(For allowed users/respondents) when 'Available Upto' time is crossed or allowed duration is completed.")</f>
        <v>Verify, Form status become Inactive automatically(For allowed users/respondents) when 'Available Upto' time is crossed or allowed duration is completed.</v>
      </c>
      <c r="L3" s="7" t="str">
        <f>IFERROR(__xludf.DUMMYFUNCTION("""COMPUTED_VALUE"""),"")</f>
        <v/>
      </c>
      <c r="M3" s="7" t="str">
        <f>IFERROR(__xludf.DUMMYFUNCTION("""COMPUTED_VALUE"""),"Form's status should become 'Inactive' (user not able to send responses) when 'Available Upto' or 'Allowed Duration' time is completed.")</f>
        <v>Form's status should become 'Inactive' (user not able to send responses) when 'Available Upto' or 'Allowed Duration' time is completed.</v>
      </c>
      <c r="N3" s="7" t="str">
        <f>IFERROR(__xludf.DUMMYFUNCTION("""COMPUTED_VALUE"""),"")</f>
        <v/>
      </c>
      <c r="O3" s="7" t="str">
        <f>IFERROR(__xludf.DUMMYFUNCTION("""COMPUTED_VALUE"""),"Form not inactive, but form hide from list.")</f>
        <v>Form not inactive, but form hide from list.</v>
      </c>
      <c r="P3" s="7" t="str">
        <f>IFERROR(__xludf.DUMMYFUNCTION("""COMPUTED_VALUE"""),"Fail")</f>
        <v>Fail</v>
      </c>
      <c r="Q3" s="7" t="str">
        <f>IFERROR(__xludf.DUMMYFUNCTION("""COMPUTED_VALUE"""),"Jaikishan")</f>
        <v>Jaikishan</v>
      </c>
      <c r="R3" s="8">
        <f>IFERROR(__xludf.DUMMYFUNCTION("""COMPUTED_VALUE"""),43809.0)</f>
        <v>43809</v>
      </c>
      <c r="S3" s="7" t="str">
        <f>IFERROR(__xludf.DUMMYFUNCTION("""COMPUTED_VALUE"""),"")</f>
        <v/>
      </c>
      <c r="T3" s="9" t="s">
        <v>10</v>
      </c>
      <c r="U3" s="7"/>
      <c r="V3" s="7"/>
      <c r="W3" s="7"/>
      <c r="X3" s="7"/>
      <c r="Y3" s="7"/>
      <c r="Z3" s="7"/>
    </row>
    <row r="4">
      <c r="A4" s="7" t="str">
        <f>IFERROR(__xludf.DUMMYFUNCTION("""COMPUTED_VALUE"""),"TCM_dKosh_General_SMF1_030_005")</f>
        <v>TCM_dKosh_General_SMF1_030_005</v>
      </c>
      <c r="B4" s="7" t="str">
        <f>IFERROR(__xludf.DUMMYFUNCTION("""COMPUTED_VALUE"""),"TP_dKosh_General_SMF1_030")</f>
        <v>TP_dKosh_General_SMF1_030</v>
      </c>
      <c r="C4" s="7">
        <f>IFERROR(__xludf.DUMMYFUNCTION("""COMPUTED_VALUE"""),5.0)</f>
        <v>5</v>
      </c>
      <c r="D4" s="7" t="str">
        <f>IFERROR(__xludf.DUMMYFUNCTION("""COMPUTED_VALUE"""),"")</f>
        <v/>
      </c>
      <c r="E4" s="7" t="str">
        <f>IFERROR(__xludf.DUMMYFUNCTION("""COMPUTED_VALUE"""),"Response Form List")</f>
        <v>Response Form List</v>
      </c>
      <c r="F4" s="7" t="str">
        <f>IFERROR(__xludf.DUMMYFUNCTION("""COMPUTED_VALUE"""),"Check Form Availabilty")</f>
        <v>Check Form Availabilty</v>
      </c>
      <c r="G4" s="7" t="str">
        <f>IFERROR(__xludf.DUMMYFUNCTION("""COMPUTED_VALUE"""),"M")</f>
        <v>M</v>
      </c>
      <c r="H4" s="7" t="str">
        <f>IFERROR(__xludf.DUMMYFUNCTION("""COMPUTED_VALUE"""),"Ankit")</f>
        <v>Ankit</v>
      </c>
      <c r="I4" s="7" t="str">
        <f>IFERROR(__xludf.DUMMYFUNCTION("""COMPUTED_VALUE"""),"Functional")</f>
        <v>Functional</v>
      </c>
      <c r="J4" s="7" t="str">
        <f>IFERROR(__xludf.DUMMYFUNCTION("""COMPUTED_VALUE"""),"1. At least one form must be created.
2. Atleast one respondent set is mapped with that form.
3. Atleast one user should be mapped with respondent set.")</f>
        <v>1. At least one form must be created.
2. Atleast one respondent set is mapped with that form.
3. Atleast one user should be mapped with respondent set.</v>
      </c>
      <c r="K4" s="7" t="str">
        <f>IFERROR(__xludf.DUMMYFUNCTION("""COMPUTED_VALUE"""),"Verify, 'Available From' and 'Available Upto' dates of the respondent set lies between 'Available From' and 'available Upto' dates of the mapped 'Form'.")</f>
        <v>Verify, 'Available From' and 'Available Upto' dates of the respondent set lies between 'Available From' and 'available Upto' dates of the mapped 'Form'.</v>
      </c>
      <c r="L4" s="7" t="str">
        <f>IFERROR(__xludf.DUMMYFUNCTION("""COMPUTED_VALUE"""),"1. Go to manage form list.
2. Click on setting icon of form.
3. Select 'Manage Respondent'
4. Create Respondent set with outer date from 'Available From' and 'Available Upto'  date of related form.")</f>
        <v>1. Go to manage form list.
2. Click on setting icon of form.
3. Select 'Manage Respondent'
4. Create Respondent set with outer date from 'Available From' and 'Available Upto'  date of related form.</v>
      </c>
      <c r="M4" s="7" t="str">
        <f>IFERROR(__xludf.DUMMYFUNCTION("""COMPUTED_VALUE"""),"There should be shown error message like 'Available From' and 'Available upto' dates should be lies within 'Available From' and 'Available Upto'  date of related form.")</f>
        <v>There should be shown error message like 'Available From' and 'Available upto' dates should be lies within 'Available From' and 'Available Upto'  date of related form.</v>
      </c>
      <c r="N4" s="7" t="str">
        <f>IFERROR(__xludf.DUMMYFUNCTION("""COMPUTED_VALUE"""),"")</f>
        <v/>
      </c>
      <c r="O4" s="7" t="str">
        <f>IFERROR(__xludf.DUMMYFUNCTION("""COMPUTED_VALUE"""),"Available Upto date takes greater than Form Available Upto date.")</f>
        <v>Available Upto date takes greater than Form Available Upto date.</v>
      </c>
      <c r="P4" s="7" t="str">
        <f>IFERROR(__xludf.DUMMYFUNCTION("""COMPUTED_VALUE"""),"Fail")</f>
        <v>Fail</v>
      </c>
      <c r="Q4" s="7" t="str">
        <f>IFERROR(__xludf.DUMMYFUNCTION("""COMPUTED_VALUE"""),"Jaikishan")</f>
        <v>Jaikishan</v>
      </c>
      <c r="R4" s="8">
        <f>IFERROR(__xludf.DUMMYFUNCTION("""COMPUTED_VALUE"""),43809.0)</f>
        <v>43809</v>
      </c>
      <c r="S4" s="7" t="str">
        <f>IFERROR(__xludf.DUMMYFUNCTION("""COMPUTED_VALUE"""),"")</f>
        <v/>
      </c>
      <c r="T4" s="7"/>
      <c r="U4" s="7"/>
      <c r="V4" s="7"/>
      <c r="W4" s="7"/>
      <c r="X4" s="7"/>
      <c r="Y4" s="7"/>
      <c r="Z4" s="7"/>
    </row>
    <row r="5">
      <c r="A5" s="7" t="str">
        <f>IFERROR(__xludf.DUMMYFUNCTION("""COMPUTED_VALUE"""),"TCM_dKosh_General_SMF1_030_006")</f>
        <v>TCM_dKosh_General_SMF1_030_006</v>
      </c>
      <c r="B5" s="7" t="str">
        <f>IFERROR(__xludf.DUMMYFUNCTION("""COMPUTED_VALUE"""),"TP_dKosh_General_SMF1_030")</f>
        <v>TP_dKosh_General_SMF1_030</v>
      </c>
      <c r="C5" s="7">
        <f>IFERROR(__xludf.DUMMYFUNCTION("""COMPUTED_VALUE"""),6.0)</f>
        <v>6</v>
      </c>
      <c r="D5" s="7" t="str">
        <f>IFERROR(__xludf.DUMMYFUNCTION("""COMPUTED_VALUE"""),"")</f>
        <v/>
      </c>
      <c r="E5" s="7" t="str">
        <f>IFERROR(__xludf.DUMMYFUNCTION("""COMPUTED_VALUE"""),"Response Form List")</f>
        <v>Response Form List</v>
      </c>
      <c r="F5" s="7" t="str">
        <f>IFERROR(__xludf.DUMMYFUNCTION("""COMPUTED_VALUE"""),"Check Form Availabilty")</f>
        <v>Check Form Availabilty</v>
      </c>
      <c r="G5" s="7" t="str">
        <f>IFERROR(__xludf.DUMMYFUNCTION("""COMPUTED_VALUE"""),"M")</f>
        <v>M</v>
      </c>
      <c r="H5" s="7" t="str">
        <f>IFERROR(__xludf.DUMMYFUNCTION("""COMPUTED_VALUE"""),"Ankit")</f>
        <v>Ankit</v>
      </c>
      <c r="I5" s="7" t="str">
        <f>IFERROR(__xludf.DUMMYFUNCTION("""COMPUTED_VALUE"""),"Functional")</f>
        <v>Functional</v>
      </c>
      <c r="J5" s="7" t="str">
        <f>IFERROR(__xludf.DUMMYFUNCTION("""COMPUTED_VALUE"""),"1. At least one form must be created.
2. Atleast one respondent set is mapped with that form.
3. Atleast one user should be mapped with respondent set.")</f>
        <v>1. At least one form must be created.
2. Atleast one respondent set is mapped with that form.
3. Atleast one user should be mapped with respondent set.</v>
      </c>
      <c r="K5" s="7" t="str">
        <f>IFERROR(__xludf.DUMMYFUNCTION("""COMPUTED_VALUE"""),"Verify form is displaying only for respondent users.")</f>
        <v>Verify form is displaying only for respondent users.</v>
      </c>
      <c r="L5" s="7" t="str">
        <f>IFERROR(__xludf.DUMMYFUNCTION("""COMPUTED_VALUE"""),"1. Go to manage form list.
2. Click on setting icon of form.
3. Select 'Manage Respondent'
4. Create Respondent set with outer date from 'Available From' and 'Available Upto'  date of related form.")</f>
        <v>1. Go to manage form list.
2. Click on setting icon of form.
3. Select 'Manage Respondent'
4. Create Respondent set with outer date from 'Available From' and 'Available Upto'  date of related form.</v>
      </c>
      <c r="M5" s="7" t="str">
        <f>IFERROR(__xludf.DUMMYFUNCTION("""COMPUTED_VALUE"""),"There should be shown error message like 'Available From' and 'Available upto' dates should be lies within 'Available From' and 'Available Upto'  date of related form.")</f>
        <v>There should be shown error message like 'Available From' and 'Available upto' dates should be lies within 'Available From' and 'Available Upto'  date of related form.</v>
      </c>
      <c r="N5" s="7" t="str">
        <f>IFERROR(__xludf.DUMMYFUNCTION("""COMPUTED_VALUE"""),"")</f>
        <v/>
      </c>
      <c r="O5" s="7" t="str">
        <f>IFERROR(__xludf.DUMMYFUNCTION("""COMPUTED_VALUE"""),"Form open from url where respondent is not added.")</f>
        <v>Form open from url where respondent is not added.</v>
      </c>
      <c r="P5" s="7" t="str">
        <f>IFERROR(__xludf.DUMMYFUNCTION("""COMPUTED_VALUE"""),"Fail")</f>
        <v>Fail</v>
      </c>
      <c r="Q5" s="7" t="str">
        <f>IFERROR(__xludf.DUMMYFUNCTION("""COMPUTED_VALUE"""),"Jaikishan")</f>
        <v>Jaikishan</v>
      </c>
      <c r="R5" s="8">
        <f>IFERROR(__xludf.DUMMYFUNCTION("""COMPUTED_VALUE"""),43809.0)</f>
        <v>43809</v>
      </c>
      <c r="S5" s="7" t="str">
        <f>IFERROR(__xludf.DUMMYFUNCTION("""COMPUTED_VALUE"""),"")</f>
        <v/>
      </c>
      <c r="T5" s="7"/>
      <c r="U5" s="7"/>
      <c r="V5" s="7"/>
      <c r="W5" s="7"/>
      <c r="X5" s="7"/>
      <c r="Y5" s="7"/>
      <c r="Z5" s="7"/>
    </row>
    <row r="6">
      <c r="A6" s="7" t="str">
        <f>IFERROR(__xludf.DUMMYFUNCTION("""COMPUTED_VALUE"""),"TCM_dKosh_General_SMF1_030_052")</f>
        <v>TCM_dKosh_General_SMF1_030_052</v>
      </c>
      <c r="B6" s="7" t="str">
        <f>IFERROR(__xludf.DUMMYFUNCTION("""COMPUTED_VALUE"""),"TP_dKosh_General_SMF1_030")</f>
        <v>TP_dKosh_General_SMF1_030</v>
      </c>
      <c r="C6" s="7">
        <f>IFERROR(__xludf.DUMMYFUNCTION("""COMPUTED_VALUE"""),52.0)</f>
        <v>52</v>
      </c>
      <c r="D6" s="7" t="str">
        <f>IFERROR(__xludf.DUMMYFUNCTION("""COMPUTED_VALUE"""),"")</f>
        <v/>
      </c>
      <c r="E6" s="7" t="str">
        <f>IFERROR(__xludf.DUMMYFUNCTION("""COMPUTED_VALUE"""),"General")</f>
        <v>General</v>
      </c>
      <c r="F6" s="7" t="str">
        <f>IFERROR(__xludf.DUMMYFUNCTION("""COMPUTED_VALUE"""),"Create")</f>
        <v>Create</v>
      </c>
      <c r="G6" s="7" t="str">
        <f>IFERROR(__xludf.DUMMYFUNCTION("""COMPUTED_VALUE"""),"M")</f>
        <v>M</v>
      </c>
      <c r="H6" s="7" t="str">
        <f>IFERROR(__xludf.DUMMYFUNCTION("""COMPUTED_VALUE"""),"Jaikishan")</f>
        <v>Jaikishan</v>
      </c>
      <c r="I6" s="7" t="str">
        <f>IFERROR(__xludf.DUMMYFUNCTION("""COMPUTED_VALUE"""),"Functional(Integration)")</f>
        <v>Functional(Integration)</v>
      </c>
      <c r="J6" s="7" t="str">
        <f>IFERROR(__xludf.DUMMYFUNCTION("""COMPUTED_VALUE"""),"1. At least one form must be created.
2. Atleast one respondent set is mapped with that form.
3. Atleast one user should be mapped with respondent set.
4. Change Form status as ""Close"".")</f>
        <v>1. At least one form must be created.
2. Atleast one respondent set is mapped with that form.
3. Atleast one user should be mapped with respondent set.
4. Change Form status as "Close".</v>
      </c>
      <c r="K6" s="7" t="str">
        <f>IFERROR(__xludf.DUMMYFUNCTION("""COMPUTED_VALUE"""),"Verify close form status is visible to respondent or not.")</f>
        <v>Verify close form status is visible to respondent or not.</v>
      </c>
      <c r="L6" s="7" t="str">
        <f>IFERROR(__xludf.DUMMYFUNCTION("""COMPUTED_VALUE"""),"1. Go to ""Manage Form""
2. Change Form status as ""Close""
3. Go to 'Respondent List""
4. Check form is visible to respondent.")</f>
        <v>1. Go to "Manage Form"
2. Change Form status as "Close"
3. Go to 'Respondent List"
4. Check form is visible to respondent.</v>
      </c>
      <c r="M6" s="7" t="str">
        <f>IFERROR(__xludf.DUMMYFUNCTION("""COMPUTED_VALUE"""),"Form should not be visible to respondent and also unmapped form from  Respondent list.")</f>
        <v>Form should not be visible to respondent and also unmapped form from  Respondent list.</v>
      </c>
      <c r="N6" s="7" t="str">
        <f>IFERROR(__xludf.DUMMYFUNCTION("""COMPUTED_VALUE"""),"")</f>
        <v/>
      </c>
      <c r="O6" s="7" t="str">
        <f>IFERROR(__xludf.DUMMYFUNCTION("""COMPUTED_VALUE"""),"Form not visible to respondent, but not umapped from respondent group.")</f>
        <v>Form not visible to respondent, but not umapped from respondent group.</v>
      </c>
      <c r="P6" s="7" t="str">
        <f>IFERROR(__xludf.DUMMYFUNCTION("""COMPUTED_VALUE"""),"Fail")</f>
        <v>Fail</v>
      </c>
      <c r="Q6" s="7" t="str">
        <f>IFERROR(__xludf.DUMMYFUNCTION("""COMPUTED_VALUE"""),"Jaikishan")</f>
        <v>Jaikishan</v>
      </c>
      <c r="R6" s="8">
        <f>IFERROR(__xludf.DUMMYFUNCTION("""COMPUTED_VALUE"""),43809.0)</f>
        <v>43809</v>
      </c>
      <c r="S6" s="7" t="str">
        <f>IFERROR(__xludf.DUMMYFUNCTION("""COMPUTED_VALUE"""),"")</f>
        <v/>
      </c>
      <c r="T6" s="7"/>
      <c r="U6" s="7"/>
      <c r="V6" s="7"/>
      <c r="W6" s="7"/>
      <c r="X6" s="7"/>
      <c r="Y6" s="7"/>
      <c r="Z6" s="7"/>
    </row>
    <row r="7">
      <c r="A7" s="7" t="str">
        <f>IFERROR(__xludf.DUMMYFUNCTION("""COMPUTED_VALUE"""),"TCM_dKosh_General_SMF1_033_063")</f>
        <v>TCM_dKosh_General_SMF1_033_063</v>
      </c>
      <c r="B7" s="7" t="str">
        <f>IFERROR(__xludf.DUMMYFUNCTION("""COMPUTED_VALUE"""),"TP_dKosh_General_SMF1_033")</f>
        <v>TP_dKosh_General_SMF1_033</v>
      </c>
      <c r="C7" s="7">
        <f>IFERROR(__xludf.DUMMYFUNCTION("""COMPUTED_VALUE"""),63.0)</f>
        <v>63</v>
      </c>
      <c r="D7" s="7" t="str">
        <f>IFERROR(__xludf.DUMMYFUNCTION("""COMPUTED_VALUE"""),"")</f>
        <v/>
      </c>
      <c r="E7" s="7" t="str">
        <f>IFERROR(__xludf.DUMMYFUNCTION("""COMPUTED_VALUE"""),"")</f>
        <v/>
      </c>
      <c r="F7" s="7" t="str">
        <f>IFERROR(__xludf.DUMMYFUNCTION("""COMPUTED_VALUE"""),"Notification")</f>
        <v>Notification</v>
      </c>
      <c r="G7" s="7" t="str">
        <f>IFERROR(__xludf.DUMMYFUNCTION("""COMPUTED_VALUE"""),"M")</f>
        <v>M</v>
      </c>
      <c r="H7" s="7" t="str">
        <f>IFERROR(__xludf.DUMMYFUNCTION("""COMPUTED_VALUE"""),"Jaikishan")</f>
        <v>Jaikishan</v>
      </c>
      <c r="I7" s="7" t="str">
        <f>IFERROR(__xludf.DUMMYFUNCTION("""COMPUTED_VALUE"""),"Functional(Integration)")</f>
        <v>Functional(Integration)</v>
      </c>
      <c r="J7" s="7" t="str">
        <f>IFERROR(__xludf.DUMMYFUNCTION("""COMPUTED_VALUE"""),"1. At least one form must be created.
2. Atleast one approver set is mapped with that form.
3. Atleast one user should be mapped with approver set.")</f>
        <v>1. At least one form must be created.
2. Atleast one approver set is mapped with that form.
3. Atleast one user should be mapped with approver set.</v>
      </c>
      <c r="K7" s="7" t="str">
        <f>IFERROR(__xludf.DUMMYFUNCTION("""COMPUTED_VALUE"""),"Verify approver get the respondent form again when approver Approve the form and then respondent edit form after approve.
")</f>
        <v>Verify approver get the respondent form again when approver Approve the form and then respondent edit form after approve.
</v>
      </c>
      <c r="L7" s="7" t="str">
        <f>IFERROR(__xludf.DUMMYFUNCTION("""COMPUTED_VALUE"""),"1. Login with respondent(mapped with created form) credential.
2. Go to manage form list.
3. Click On 'View Form'.
4. Fill required info and Submit response.
5. Approver 'approve' the form.
6. Respondent again edit the form
7. Check Approver get form agai"&amp;"n for approver or not.
")</f>
        <v>1. Login with respondent(mapped with created form) credential.
2. Go to manage form list.
3. Click On 'View Form'.
4. Fill required info and Submit response.
5. Approver 'approve' the form.
6. Respondent again edit the form
7. Check Approver get form again for approver or not.
</v>
      </c>
      <c r="M7" s="7" t="str">
        <f>IFERROR(__xludf.DUMMYFUNCTION("""COMPUTED_VALUE"""),"Approver should get form again for approve.")</f>
        <v>Approver should get form again for approve.</v>
      </c>
      <c r="N7" s="7" t="str">
        <f>IFERROR(__xludf.DUMMYFUNCTION("""COMPUTED_VALUE"""),"")</f>
        <v/>
      </c>
      <c r="O7" s="7" t="str">
        <f>IFERROR(__xludf.DUMMYFUNCTION("""COMPUTED_VALUE"""),"After approve, then user modified , not showing form again for approved.
")</f>
        <v>After approve, then user modified , not showing form again for approved.
</v>
      </c>
      <c r="P7" s="7" t="str">
        <f>IFERROR(__xludf.DUMMYFUNCTION("""COMPUTED_VALUE"""),"Fail")</f>
        <v>Fail</v>
      </c>
      <c r="Q7" s="7" t="str">
        <f>IFERROR(__xludf.DUMMYFUNCTION("""COMPUTED_VALUE"""),"Jaikishan")</f>
        <v>Jaikishan</v>
      </c>
      <c r="R7" s="8">
        <f>IFERROR(__xludf.DUMMYFUNCTION("""COMPUTED_VALUE"""),43809.0)</f>
        <v>43809</v>
      </c>
      <c r="S7" s="7" t="str">
        <f>IFERROR(__xludf.DUMMYFUNCTION("""COMPUTED_VALUE"""),"")</f>
        <v/>
      </c>
      <c r="T7" s="7"/>
      <c r="U7" s="7"/>
      <c r="V7" s="7"/>
      <c r="W7" s="7"/>
      <c r="X7" s="7"/>
      <c r="Y7" s="7"/>
      <c r="Z7" s="7"/>
    </row>
    <row r="8">
      <c r="A8" s="7" t="str">
        <f>IFERROR(__xludf.DUMMYFUNCTION("""COMPUTED_VALUE"""),"TCM_dKosh_General_SMF1_034_069")</f>
        <v>TCM_dKosh_General_SMF1_034_069</v>
      </c>
      <c r="B8" s="7" t="str">
        <f>IFERROR(__xludf.DUMMYFUNCTION("""COMPUTED_VALUE"""),"TP_dKosh_General_SMF1_034")</f>
        <v>TP_dKosh_General_SMF1_034</v>
      </c>
      <c r="C8" s="7">
        <f>IFERROR(__xludf.DUMMYFUNCTION("""COMPUTED_VALUE"""),69.0)</f>
        <v>69</v>
      </c>
      <c r="D8" s="7" t="str">
        <f>IFERROR(__xludf.DUMMYFUNCTION("""COMPUTED_VALUE"""),"")</f>
        <v/>
      </c>
      <c r="E8" s="7" t="str">
        <f>IFERROR(__xludf.DUMMYFUNCTION("""COMPUTED_VALUE"""),"Form View")</f>
        <v>Form View</v>
      </c>
      <c r="F8" s="7" t="str">
        <f>IFERROR(__xludf.DUMMYFUNCTION("""COMPUTED_VALUE"""),"")</f>
        <v/>
      </c>
      <c r="G8" s="7" t="str">
        <f>IFERROR(__xludf.DUMMYFUNCTION("""COMPUTED_VALUE"""),"M")</f>
        <v>M</v>
      </c>
      <c r="H8" s="7" t="str">
        <f>IFERROR(__xludf.DUMMYFUNCTION("""COMPUTED_VALUE"""),"Ankit")</f>
        <v>Ankit</v>
      </c>
      <c r="I8" s="7" t="str">
        <f>IFERROR(__xludf.DUMMYFUNCTION("""COMPUTED_VALUE"""),"UI")</f>
        <v>UI</v>
      </c>
      <c r="J8" s="7" t="str">
        <f>IFERROR(__xludf.DUMMYFUNCTION("""COMPUTED_VALUE"""),"Form is created for Responses")</f>
        <v>Form is created for Responses</v>
      </c>
      <c r="K8" s="7" t="str">
        <f>IFERROR(__xludf.DUMMYFUNCTION("""COMPUTED_VALUE"""),"Verify the Question is Enabled if question is enabled on the Question Panel.")</f>
        <v>Verify the Question is Enabled if question is enabled on the Question Panel.</v>
      </c>
      <c r="L8" s="7" t="str">
        <f>IFERROR(__xludf.DUMMYFUNCTION("""COMPUTED_VALUE"""),"")</f>
        <v/>
      </c>
      <c r="M8" s="7" t="str">
        <f>IFERROR(__xludf.DUMMYFUNCTION("""COMPUTED_VALUE"""),"If enabled - yes
quesiton should be displayed as enabled on the form.
else if enabled - no
quesiton should be displayed as disabled on the form.
")</f>
        <v>If enabled - yes
quesiton should be displayed as enabled on the form.
else if enabled - no
quesiton should be displayed as disabled on the form.
</v>
      </c>
      <c r="N8" s="7" t="str">
        <f>IFERROR(__xludf.DUMMYFUNCTION("""COMPUTED_VALUE"""),"")</f>
        <v/>
      </c>
      <c r="O8" s="7" t="str">
        <f>IFERROR(__xludf.DUMMYFUNCTION("""COMPUTED_VALUE"""),"When enaled as No, then question hide from response form.")</f>
        <v>When enaled as No, then question hide from response form.</v>
      </c>
      <c r="P8" s="7" t="str">
        <f>IFERROR(__xludf.DUMMYFUNCTION("""COMPUTED_VALUE"""),"Fail")</f>
        <v>Fail</v>
      </c>
      <c r="Q8" s="7" t="str">
        <f>IFERROR(__xludf.DUMMYFUNCTION("""COMPUTED_VALUE"""),"Jaikishan")</f>
        <v>Jaikishan</v>
      </c>
      <c r="R8" s="8">
        <f>IFERROR(__xludf.DUMMYFUNCTION("""COMPUTED_VALUE"""),43809.0)</f>
        <v>43809</v>
      </c>
      <c r="S8" s="7" t="str">
        <f>IFERROR(__xludf.DUMMYFUNCTION("""COMPUTED_VALUE"""),"")</f>
        <v/>
      </c>
      <c r="T8" s="7"/>
      <c r="U8" s="7"/>
      <c r="V8" s="7"/>
      <c r="W8" s="7"/>
      <c r="X8" s="7"/>
      <c r="Y8" s="7"/>
      <c r="Z8" s="7"/>
    </row>
    <row r="9">
      <c r="A9" s="7" t="str">
        <f>IFERROR(__xludf.DUMMYFUNCTION("""COMPUTED_VALUE"""),"TCM_dKosh_General_SMF1_034_090")</f>
        <v>TCM_dKosh_General_SMF1_034_090</v>
      </c>
      <c r="B9" s="7" t="str">
        <f>IFERROR(__xludf.DUMMYFUNCTION("""COMPUTED_VALUE"""),"TP_dKosh_General_SMF1_034")</f>
        <v>TP_dKosh_General_SMF1_034</v>
      </c>
      <c r="C9" s="7">
        <f>IFERROR(__xludf.DUMMYFUNCTION("""COMPUTED_VALUE"""),90.0)</f>
        <v>90</v>
      </c>
      <c r="D9" s="7" t="str">
        <f>IFERROR(__xludf.DUMMYFUNCTION("""COMPUTED_VALUE"""),"")</f>
        <v/>
      </c>
      <c r="E9" s="7" t="str">
        <f>IFERROR(__xludf.DUMMYFUNCTION("""COMPUTED_VALUE"""),"Form View")</f>
        <v>Form View</v>
      </c>
      <c r="F9" s="7" t="str">
        <f>IFERROR(__xludf.DUMMYFUNCTION("""COMPUTED_VALUE"""),"")</f>
        <v/>
      </c>
      <c r="G9" s="7" t="str">
        <f>IFERROR(__xludf.DUMMYFUNCTION("""COMPUTED_VALUE"""),"M")</f>
        <v>M</v>
      </c>
      <c r="H9" s="7" t="str">
        <f>IFERROR(__xludf.DUMMYFUNCTION("""COMPUTED_VALUE"""),"Ankit")</f>
        <v>Ankit</v>
      </c>
      <c r="I9" s="7" t="str">
        <f>IFERROR(__xludf.DUMMYFUNCTION("""COMPUTED_VALUE"""),"Validation")</f>
        <v>Validation</v>
      </c>
      <c r="J9" s="7" t="str">
        <f>IFERROR(__xludf.DUMMYFUNCTION("""COMPUTED_VALUE"""),"Form is created for Responses")</f>
        <v>Form is created for Responses</v>
      </c>
      <c r="K9" s="7" t="str">
        <f>IFERROR(__xludf.DUMMYFUNCTION("""COMPUTED_VALUE"""),"Verify the prefill value is displaying same as if question type is Scale.")</f>
        <v>Verify the prefill value is displaying same as if question type is Scale.</v>
      </c>
      <c r="L9" s="7" t="str">
        <f>IFERROR(__xludf.DUMMYFUNCTION("""COMPUTED_VALUE"""),"")</f>
        <v/>
      </c>
      <c r="M9" s="7" t="str">
        <f>IFERROR(__xludf.DUMMYFUNCTION("""COMPUTED_VALUE"""),"Prefill value should be show in that field")</f>
        <v>Prefill value should be show in that field</v>
      </c>
      <c r="N9" s="7" t="str">
        <f>IFERROR(__xludf.DUMMYFUNCTION("""COMPUTED_VALUE"""),"")</f>
        <v/>
      </c>
      <c r="O9" s="7" t="str">
        <f>IFERROR(__xludf.DUMMYFUNCTION("""COMPUTED_VALUE"""),"Negative prefill value showing on scale")</f>
        <v>Negative prefill value showing on scale</v>
      </c>
      <c r="P9" s="7" t="str">
        <f>IFERROR(__xludf.DUMMYFUNCTION("""COMPUTED_VALUE"""),"Fail")</f>
        <v>Fail</v>
      </c>
      <c r="Q9" s="7" t="str">
        <f>IFERROR(__xludf.DUMMYFUNCTION("""COMPUTED_VALUE"""),"Jaikishan")</f>
        <v>Jaikishan</v>
      </c>
      <c r="R9" s="8">
        <f>IFERROR(__xludf.DUMMYFUNCTION("""COMPUTED_VALUE"""),43809.0)</f>
        <v>43809</v>
      </c>
      <c r="S9" s="7" t="str">
        <f>IFERROR(__xludf.DUMMYFUNCTION("""COMPUTED_VALUE"""),"")</f>
        <v/>
      </c>
      <c r="T9" s="7"/>
      <c r="U9" s="7"/>
      <c r="V9" s="7"/>
      <c r="W9" s="7"/>
      <c r="X9" s="7"/>
      <c r="Y9" s="7"/>
      <c r="Z9" s="7"/>
    </row>
    <row r="10">
      <c r="A10" s="7" t="str">
        <f>IFERROR(__xludf.DUMMYFUNCTION("""COMPUTED_VALUE"""),"TCM_dKosh_General_SMF1_034_094")</f>
        <v>TCM_dKosh_General_SMF1_034_094</v>
      </c>
      <c r="B10" s="7" t="str">
        <f>IFERROR(__xludf.DUMMYFUNCTION("""COMPUTED_VALUE"""),"TP_dKosh_General_SMF1_034")</f>
        <v>TP_dKosh_General_SMF1_034</v>
      </c>
      <c r="C10" s="7">
        <f>IFERROR(__xludf.DUMMYFUNCTION("""COMPUTED_VALUE"""),94.0)</f>
        <v>94</v>
      </c>
      <c r="D10" s="7" t="str">
        <f>IFERROR(__xludf.DUMMYFUNCTION("""COMPUTED_VALUE"""),"")</f>
        <v/>
      </c>
      <c r="E10" s="7" t="str">
        <f>IFERROR(__xludf.DUMMYFUNCTION("""COMPUTED_VALUE"""),"Form View")</f>
        <v>Form View</v>
      </c>
      <c r="F10" s="7" t="str">
        <f>IFERROR(__xludf.DUMMYFUNCTION("""COMPUTED_VALUE"""),"")</f>
        <v/>
      </c>
      <c r="G10" s="7" t="str">
        <f>IFERROR(__xludf.DUMMYFUNCTION("""COMPUTED_VALUE"""),"M")</f>
        <v>M</v>
      </c>
      <c r="H10" s="7" t="str">
        <f>IFERROR(__xludf.DUMMYFUNCTION("""COMPUTED_VALUE"""),"Ankit")</f>
        <v>Ankit</v>
      </c>
      <c r="I10" s="7" t="str">
        <f>IFERROR(__xludf.DUMMYFUNCTION("""COMPUTED_VALUE"""),"Validation")</f>
        <v>Validation</v>
      </c>
      <c r="J10" s="7" t="str">
        <f>IFERROR(__xludf.DUMMYFUNCTION("""COMPUTED_VALUE"""),"Form is created for Responses")</f>
        <v>Form is created for Responses</v>
      </c>
      <c r="K10" s="7" t="str">
        <f>IFERROR(__xludf.DUMMYFUNCTION("""COMPUTED_VALUE"""),"Verify the prefill value is displaying same as if question type is Number.")</f>
        <v>Verify the prefill value is displaying same as if question type is Number.</v>
      </c>
      <c r="L10" s="7" t="str">
        <f>IFERROR(__xludf.DUMMYFUNCTION("""COMPUTED_VALUE"""),"")</f>
        <v/>
      </c>
      <c r="M10" s="7" t="str">
        <f>IFERROR(__xludf.DUMMYFUNCTION("""COMPUTED_VALUE"""),"Prefill value should be show in that field")</f>
        <v>Prefill value should be show in that field</v>
      </c>
      <c r="N10" s="7" t="str">
        <f>IFERROR(__xludf.DUMMYFUNCTION("""COMPUTED_VALUE"""),"")</f>
        <v/>
      </c>
      <c r="O10" s="7" t="str">
        <f>IFERROR(__xludf.DUMMYFUNCTION("""COMPUTED_VALUE"""),"When enter string then showing exception")</f>
        <v>When enter string then showing exception</v>
      </c>
      <c r="P10" s="7" t="str">
        <f>IFERROR(__xludf.DUMMYFUNCTION("""COMPUTED_VALUE"""),"Fail")</f>
        <v>Fail</v>
      </c>
      <c r="Q10" s="7" t="str">
        <f>IFERROR(__xludf.DUMMYFUNCTION("""COMPUTED_VALUE"""),"Jaikishan")</f>
        <v>Jaikishan</v>
      </c>
      <c r="R10" s="8">
        <f>IFERROR(__xludf.DUMMYFUNCTION("""COMPUTED_VALUE"""),43809.0)</f>
        <v>43809</v>
      </c>
      <c r="S10" s="7" t="str">
        <f>IFERROR(__xludf.DUMMYFUNCTION("""COMPUTED_VALUE"""),"")</f>
        <v/>
      </c>
      <c r="T10" s="7"/>
      <c r="U10" s="7"/>
      <c r="V10" s="7"/>
      <c r="W10" s="7"/>
      <c r="X10" s="7"/>
      <c r="Y10" s="7"/>
      <c r="Z10" s="7"/>
    </row>
    <row r="11">
      <c r="A11" s="7" t="str">
        <f>IFERROR(__xludf.DUMMYFUNCTION("""COMPUTED_VALUE"""),"TCM_dKosh_General_SMF1_034_101")</f>
        <v>TCM_dKosh_General_SMF1_034_101</v>
      </c>
      <c r="B11" s="7" t="str">
        <f>IFERROR(__xludf.DUMMYFUNCTION("""COMPUTED_VALUE"""),"TP_dKosh_General_SMF1_034")</f>
        <v>TP_dKosh_General_SMF1_034</v>
      </c>
      <c r="C11" s="7">
        <f>IFERROR(__xludf.DUMMYFUNCTION("""COMPUTED_VALUE"""),101.0)</f>
        <v>101</v>
      </c>
      <c r="D11" s="7" t="str">
        <f>IFERROR(__xludf.DUMMYFUNCTION("""COMPUTED_VALUE"""),"")</f>
        <v/>
      </c>
      <c r="E11" s="7" t="str">
        <f>IFERROR(__xludf.DUMMYFUNCTION("""COMPUTED_VALUE"""),"Form View")</f>
        <v>Form View</v>
      </c>
      <c r="F11" s="7" t="str">
        <f>IFERROR(__xludf.DUMMYFUNCTION("""COMPUTED_VALUE"""),"")</f>
        <v/>
      </c>
      <c r="G11" s="7" t="str">
        <f>IFERROR(__xludf.DUMMYFUNCTION("""COMPUTED_VALUE"""),"M")</f>
        <v>M</v>
      </c>
      <c r="H11" s="7" t="str">
        <f>IFERROR(__xludf.DUMMYFUNCTION("""COMPUTED_VALUE"""),"Ankit")</f>
        <v>Ankit</v>
      </c>
      <c r="I11" s="7" t="str">
        <f>IFERROR(__xludf.DUMMYFUNCTION("""COMPUTED_VALUE"""),"UI")</f>
        <v>UI</v>
      </c>
      <c r="J11" s="7" t="str">
        <f>IFERROR(__xludf.DUMMYFUNCTION("""COMPUTED_VALUE"""),"")</f>
        <v/>
      </c>
      <c r="K11" s="7" t="str">
        <f>IFERROR(__xludf.DUMMYFUNCTION("""COMPUTED_VALUE"""),"Verify the Options are displaying correctly if question type is Auto complete and choice source type is User Defined List.")</f>
        <v>Verify the Options are displaying correctly if question type is Auto complete and choice source type is User Defined List.</v>
      </c>
      <c r="L11" s="7" t="str">
        <f>IFERROR(__xludf.DUMMYFUNCTION("""COMPUTED_VALUE"""),"")</f>
        <v/>
      </c>
      <c r="M11" s="7" t="str">
        <f>IFERROR(__xludf.DUMMYFUNCTION("""COMPUTED_VALUE"""),"Options should be displayed as given in question")</f>
        <v>Options should be displayed as given in question</v>
      </c>
      <c r="N11" s="7" t="str">
        <f>IFERROR(__xludf.DUMMYFUNCTION("""COMPUTED_VALUE"""),"")</f>
        <v/>
      </c>
      <c r="O11" s="7" t="str">
        <f>IFERROR(__xludf.DUMMYFUNCTION("""COMPUTED_VALUE"""),"Option not autocomplete when enter Text related to that option.")</f>
        <v>Option not autocomplete when enter Text related to that option.</v>
      </c>
      <c r="P11" s="7" t="str">
        <f>IFERROR(__xludf.DUMMYFUNCTION("""COMPUTED_VALUE"""),"Fail")</f>
        <v>Fail</v>
      </c>
      <c r="Q11" s="7" t="str">
        <f>IFERROR(__xludf.DUMMYFUNCTION("""COMPUTED_VALUE"""),"Jaikishan")</f>
        <v>Jaikishan</v>
      </c>
      <c r="R11" s="8">
        <f>IFERROR(__xludf.DUMMYFUNCTION("""COMPUTED_VALUE"""),43809.0)</f>
        <v>43809</v>
      </c>
      <c r="S11" s="7" t="str">
        <f>IFERROR(__xludf.DUMMYFUNCTION("""COMPUTED_VALUE"""),"")</f>
        <v/>
      </c>
      <c r="T11" s="7"/>
      <c r="U11" s="7"/>
      <c r="V11" s="7"/>
      <c r="W11" s="7"/>
      <c r="X11" s="7"/>
      <c r="Y11" s="7"/>
      <c r="Z11" s="7"/>
    </row>
    <row r="12">
      <c r="A12" s="7" t="str">
        <f>IFERROR(__xludf.DUMMYFUNCTION("""COMPUTED_VALUE"""),"TCM_dKosh_General_SMF1_034_113")</f>
        <v>TCM_dKosh_General_SMF1_034_113</v>
      </c>
      <c r="B12" s="7" t="str">
        <f>IFERROR(__xludf.DUMMYFUNCTION("""COMPUTED_VALUE"""),"TP_dKosh_General_SMF1_034")</f>
        <v>TP_dKosh_General_SMF1_034</v>
      </c>
      <c r="C12" s="7">
        <f>IFERROR(__xludf.DUMMYFUNCTION("""COMPUTED_VALUE"""),113.0)</f>
        <v>113</v>
      </c>
      <c r="D12" s="7" t="str">
        <f>IFERROR(__xludf.DUMMYFUNCTION("""COMPUTED_VALUE"""),"")</f>
        <v/>
      </c>
      <c r="E12" s="7" t="str">
        <f>IFERROR(__xludf.DUMMYFUNCTION("""COMPUTED_VALUE"""),"Form View")</f>
        <v>Form View</v>
      </c>
      <c r="F12" s="7" t="str">
        <f>IFERROR(__xludf.DUMMYFUNCTION("""COMPUTED_VALUE"""),"")</f>
        <v/>
      </c>
      <c r="G12" s="7" t="str">
        <f>IFERROR(__xludf.DUMMYFUNCTION("""COMPUTED_VALUE"""),"M")</f>
        <v>M</v>
      </c>
      <c r="H12" s="7" t="str">
        <f>IFERROR(__xludf.DUMMYFUNCTION("""COMPUTED_VALUE"""),"Ankit")</f>
        <v>Ankit</v>
      </c>
      <c r="I12" s="7" t="str">
        <f>IFERROR(__xludf.DUMMYFUNCTION("""COMPUTED_VALUE"""),"UI")</f>
        <v>UI</v>
      </c>
      <c r="J12" s="7" t="str">
        <f>IFERROR(__xludf.DUMMYFUNCTION("""COMPUTED_VALUE"""),"")</f>
        <v/>
      </c>
      <c r="K12" s="7" t="str">
        <f>IFERROR(__xludf.DUMMYFUNCTION("""COMPUTED_VALUE"""),"Verify the displaying order of Option in form View if Shuffe Choice is NO and question type is Autocomplete and choice source type is User Defined List.")</f>
        <v>Verify the displaying order of Option in form View if Shuffe Choice is NO and question type is Autocomplete and choice source type is User Defined List.</v>
      </c>
      <c r="L12" s="7" t="str">
        <f>IFERROR(__xludf.DUMMYFUNCTION("""COMPUTED_VALUE"""),"")</f>
        <v/>
      </c>
      <c r="M12" s="7" t="str">
        <f>IFERROR(__xludf.DUMMYFUNCTION("""COMPUTED_VALUE"""),"Option should be displayed according to Question's ordering.")</f>
        <v>Option should be displayed according to Question's ordering.</v>
      </c>
      <c r="N12" s="7" t="str">
        <f>IFERROR(__xludf.DUMMYFUNCTION("""COMPUTED_VALUE"""),"")</f>
        <v/>
      </c>
      <c r="O12" s="7" t="str">
        <f>IFERROR(__xludf.DUMMYFUNCTION("""COMPUTED_VALUE"""),"Option not displaying in case of Autocomplete")</f>
        <v>Option not displaying in case of Autocomplete</v>
      </c>
      <c r="P12" s="7" t="str">
        <f>IFERROR(__xludf.DUMMYFUNCTION("""COMPUTED_VALUE"""),"Fail")</f>
        <v>Fail</v>
      </c>
      <c r="Q12" s="7" t="str">
        <f>IFERROR(__xludf.DUMMYFUNCTION("""COMPUTED_VALUE"""),"Jaikishan")</f>
        <v>Jaikishan</v>
      </c>
      <c r="R12" s="8">
        <f>IFERROR(__xludf.DUMMYFUNCTION("""COMPUTED_VALUE"""),43809.0)</f>
        <v>43809</v>
      </c>
      <c r="S12" s="7" t="str">
        <f>IFERROR(__xludf.DUMMYFUNCTION("""COMPUTED_VALUE"""),"")</f>
        <v/>
      </c>
      <c r="T12" s="7"/>
      <c r="U12" s="7"/>
      <c r="V12" s="7"/>
      <c r="W12" s="7"/>
      <c r="X12" s="7"/>
      <c r="Y12" s="7"/>
      <c r="Z12" s="7"/>
    </row>
    <row r="13">
      <c r="A13" s="7" t="str">
        <f>IFERROR(__xludf.DUMMYFUNCTION("""COMPUTED_VALUE"""),"TCM_dKosh_General_SMF1_033_000")</f>
        <v>TCM_dKosh_General_SMF1_033_000</v>
      </c>
      <c r="B13" s="7" t="str">
        <f>IFERROR(__xludf.DUMMYFUNCTION("""COMPUTED_VALUE"""),"TP_dKosh_General_SMF1_033")</f>
        <v>TP_dKosh_General_SMF1_033</v>
      </c>
      <c r="C13" s="7" t="str">
        <f>IFERROR(__xludf.DUMMYFUNCTION("""COMPUTED_VALUE"""),"")</f>
        <v/>
      </c>
      <c r="D13" s="7" t="str">
        <f>IFERROR(__xludf.DUMMYFUNCTION("""COMPUTED_VALUE"""),"")</f>
        <v/>
      </c>
      <c r="E13" s="7" t="str">
        <f>IFERROR(__xludf.DUMMYFUNCTION("""COMPUTED_VALUE"""),"Manage Responses")</f>
        <v>Manage Responses</v>
      </c>
      <c r="F13" s="7" t="str">
        <f>IFERROR(__xludf.DUMMYFUNCTION("""COMPUTED_VALUE"""),"View responses")</f>
        <v>View responses</v>
      </c>
      <c r="G13" s="7" t="str">
        <f>IFERROR(__xludf.DUMMYFUNCTION("""COMPUTED_VALUE"""),"M")</f>
        <v>M</v>
      </c>
      <c r="H13" s="7" t="str">
        <f>IFERROR(__xludf.DUMMYFUNCTION("""COMPUTED_VALUE"""),"Jaikishan")</f>
        <v>Jaikishan</v>
      </c>
      <c r="I13" s="7" t="str">
        <f>IFERROR(__xludf.DUMMYFUNCTION("""COMPUTED_VALUE"""),"UI")</f>
        <v>UI</v>
      </c>
      <c r="J13" s="7" t="str">
        <f>IFERROR(__xludf.DUMMYFUNCTION("""COMPUTED_VALUE"""),"1. Preview Form must be created
2. Respondent added to that form")</f>
        <v>1. Preview Form must be created
2. Respondent added to that form</v>
      </c>
      <c r="K13" s="7" t="str">
        <f>IFERROR(__xludf.DUMMYFUNCTION("""COMPUTED_VALUE"""),"Verify Remaining Table header column.")</f>
        <v>Verify Remaining Table header column.</v>
      </c>
      <c r="L13" s="7" t="str">
        <f>IFERROR(__xludf.DUMMYFUNCTION("""COMPUTED_VALUE"""),"")</f>
        <v/>
      </c>
      <c r="M13" s="7" t="str">
        <f>IFERROR(__xludf.DUMMYFUNCTION("""COMPUTED_VALUE"""),"??
Whether all question shortname showing or not??")</f>
        <v>??
Whether all question shortname showing or not??</v>
      </c>
      <c r="N13" s="7" t="str">
        <f>IFERROR(__xludf.DUMMYFUNCTION("""COMPUTED_VALUE"""),"")</f>
        <v/>
      </c>
      <c r="O13" s="7" t="str">
        <f>IFERROR(__xludf.DUMMYFUNCTION("""COMPUTED_VALUE"""),"
")</f>
        <v>
</v>
      </c>
      <c r="P13" s="7" t="str">
        <f>IFERROR(__xludf.DUMMYFUNCTION("""COMPUTED_VALUE"""),"?")</f>
        <v>?</v>
      </c>
      <c r="Q13" s="7" t="str">
        <f>IFERROR(__xludf.DUMMYFUNCTION("""COMPUTED_VALUE"""),"Jaikishan")</f>
        <v>Jaikishan</v>
      </c>
      <c r="R13" s="8">
        <f>IFERROR(__xludf.DUMMYFUNCTION("""COMPUTED_VALUE"""),43809.0)</f>
        <v>43809</v>
      </c>
      <c r="S13" s="7" t="str">
        <f>IFERROR(__xludf.DUMMYFUNCTION("""COMPUTED_VALUE"""),"")</f>
        <v/>
      </c>
      <c r="T13" s="7"/>
      <c r="U13" s="7"/>
      <c r="V13" s="7"/>
      <c r="W13" s="7"/>
      <c r="X13" s="7"/>
      <c r="Y13" s="7"/>
      <c r="Z13" s="7"/>
    </row>
    <row r="14">
      <c r="A14" s="7" t="str">
        <f>IFERROR(__xludf.DUMMYFUNCTION("""COMPUTED_VALUE"""),"TCM_dKosh_General_SMF1_033_000")</f>
        <v>TCM_dKosh_General_SMF1_033_000</v>
      </c>
      <c r="B14" s="7" t="str">
        <f>IFERROR(__xludf.DUMMYFUNCTION("""COMPUTED_VALUE"""),"TP_dKosh_General_SMF1_033")</f>
        <v>TP_dKosh_General_SMF1_033</v>
      </c>
      <c r="C14" s="7" t="str">
        <f>IFERROR(__xludf.DUMMYFUNCTION("""COMPUTED_VALUE"""),"")</f>
        <v/>
      </c>
      <c r="D14" s="7" t="str">
        <f>IFERROR(__xludf.DUMMYFUNCTION("""COMPUTED_VALUE"""),"")</f>
        <v/>
      </c>
      <c r="E14" s="7" t="str">
        <f>IFERROR(__xludf.DUMMYFUNCTION("""COMPUTED_VALUE"""),"Manage Responses")</f>
        <v>Manage Responses</v>
      </c>
      <c r="F14" s="7" t="str">
        <f>IFERROR(__xludf.DUMMYFUNCTION("""COMPUTED_VALUE"""),"View responses")</f>
        <v>View responses</v>
      </c>
      <c r="G14" s="7" t="str">
        <f>IFERROR(__xludf.DUMMYFUNCTION("""COMPUTED_VALUE"""),"M")</f>
        <v>M</v>
      </c>
      <c r="H14" s="7" t="str">
        <f>IFERROR(__xludf.DUMMYFUNCTION("""COMPUTED_VALUE"""),"Jaikishan")</f>
        <v>Jaikishan</v>
      </c>
      <c r="I14" s="7" t="str">
        <f>IFERROR(__xludf.DUMMYFUNCTION("""COMPUTED_VALUE"""),"UI")</f>
        <v>UI</v>
      </c>
      <c r="J14" s="7" t="str">
        <f>IFERROR(__xludf.DUMMYFUNCTION("""COMPUTED_VALUE"""),"1. Preview Form must be created
2. Respondent added to that form")</f>
        <v>1. Preview Form must be created
2. Respondent added to that form</v>
      </c>
      <c r="K14" s="7" t="str">
        <f>IFERROR(__xludf.DUMMYFUNCTION("""COMPUTED_VALUE"""),"Verify, Approve button when no response is selected.")</f>
        <v>Verify, Approve button when no response is selected.</v>
      </c>
      <c r="L14" s="7" t="str">
        <f>IFERROR(__xludf.DUMMYFUNCTION("""COMPUTED_VALUE"""),"")</f>
        <v/>
      </c>
      <c r="M14" s="7" t="str">
        <f>IFERROR(__xludf.DUMMYFUNCTION("""COMPUTED_VALUE"""),"Approve button should not be clickable.")</f>
        <v>Approve button should not be clickable.</v>
      </c>
      <c r="N14" s="7" t="str">
        <f>IFERROR(__xludf.DUMMYFUNCTION("""COMPUTED_VALUE"""),"")</f>
        <v/>
      </c>
      <c r="O14" s="7" t="str">
        <f>IFERROR(__xludf.DUMMYFUNCTION("""COMPUTED_VALUE"""),"Approve button is clickable and showing acknowledge message also.")</f>
        <v>Approve button is clickable and showing acknowledge message also.</v>
      </c>
      <c r="P14" s="7" t="str">
        <f>IFERROR(__xludf.DUMMYFUNCTION("""COMPUTED_VALUE"""),"Fail")</f>
        <v>Fail</v>
      </c>
      <c r="Q14" s="7" t="str">
        <f>IFERROR(__xludf.DUMMYFUNCTION("""COMPUTED_VALUE"""),"Jaikishan")</f>
        <v>Jaikishan</v>
      </c>
      <c r="R14" s="8">
        <f>IFERROR(__xludf.DUMMYFUNCTION("""COMPUTED_VALUE"""),43809.0)</f>
        <v>43809</v>
      </c>
      <c r="S14" s="7" t="str">
        <f>IFERROR(__xludf.DUMMYFUNCTION("""COMPUTED_VALUE"""),"")</f>
        <v/>
      </c>
      <c r="T14" s="7"/>
      <c r="U14" s="7"/>
      <c r="V14" s="7"/>
      <c r="W14" s="7"/>
      <c r="X14" s="7"/>
      <c r="Y14" s="7"/>
      <c r="Z14" s="7"/>
    </row>
    <row r="15">
      <c r="A15" s="7" t="str">
        <f>IFERROR(__xludf.DUMMYFUNCTION("""COMPUTED_VALUE"""),"TCM_dKosh_General_SMF1_033_000")</f>
        <v>TCM_dKosh_General_SMF1_033_000</v>
      </c>
      <c r="B15" s="7" t="str">
        <f>IFERROR(__xludf.DUMMYFUNCTION("""COMPUTED_VALUE"""),"TP_dKosh_General_SMF1_033")</f>
        <v>TP_dKosh_General_SMF1_033</v>
      </c>
      <c r="C15" s="7" t="str">
        <f>IFERROR(__xludf.DUMMYFUNCTION("""COMPUTED_VALUE"""),"")</f>
        <v/>
      </c>
      <c r="D15" s="7" t="str">
        <f>IFERROR(__xludf.DUMMYFUNCTION("""COMPUTED_VALUE"""),"")</f>
        <v/>
      </c>
      <c r="E15" s="7" t="str">
        <f>IFERROR(__xludf.DUMMYFUNCTION("""COMPUTED_VALUE"""),"Manage Responses")</f>
        <v>Manage Responses</v>
      </c>
      <c r="F15" s="7" t="str">
        <f>IFERROR(__xludf.DUMMYFUNCTION("""COMPUTED_VALUE"""),"View responses")</f>
        <v>View responses</v>
      </c>
      <c r="G15" s="7" t="str">
        <f>IFERROR(__xludf.DUMMYFUNCTION("""COMPUTED_VALUE"""),"M")</f>
        <v>M</v>
      </c>
      <c r="H15" s="7" t="str">
        <f>IFERROR(__xludf.DUMMYFUNCTION("""COMPUTED_VALUE"""),"Jaikishan")</f>
        <v>Jaikishan</v>
      </c>
      <c r="I15" s="7" t="str">
        <f>IFERROR(__xludf.DUMMYFUNCTION("""COMPUTED_VALUE"""),"UI")</f>
        <v>UI</v>
      </c>
      <c r="J15" s="7" t="str">
        <f>IFERROR(__xludf.DUMMYFUNCTION("""COMPUTED_VALUE"""),"1. Preview Form must be created
2. Respondent added to that form")</f>
        <v>1. Preview Form must be created
2. Respondent added to that form</v>
      </c>
      <c r="K15" s="7" t="str">
        <f>IFERROR(__xludf.DUMMYFUNCTION("""COMPUTED_VALUE"""),"Verify, Verify button when no response is selected.")</f>
        <v>Verify, Verify button when no response is selected.</v>
      </c>
      <c r="L15" s="7" t="str">
        <f>IFERROR(__xludf.DUMMYFUNCTION("""COMPUTED_VALUE"""),"")</f>
        <v/>
      </c>
      <c r="M15" s="7" t="str">
        <f>IFERROR(__xludf.DUMMYFUNCTION("""COMPUTED_VALUE"""),"Verify button should not be clickable.")</f>
        <v>Verify button should not be clickable.</v>
      </c>
      <c r="N15" s="7" t="str">
        <f>IFERROR(__xludf.DUMMYFUNCTION("""COMPUTED_VALUE"""),"")</f>
        <v/>
      </c>
      <c r="O15" s="7" t="str">
        <f>IFERROR(__xludf.DUMMYFUNCTION("""COMPUTED_VALUE"""),"Verify button is clickable and showing acknowledge message also.")</f>
        <v>Verify button is clickable and showing acknowledge message also.</v>
      </c>
      <c r="P15" s="7" t="str">
        <f>IFERROR(__xludf.DUMMYFUNCTION("""COMPUTED_VALUE"""),"Fail")</f>
        <v>Fail</v>
      </c>
      <c r="Q15" s="7" t="str">
        <f>IFERROR(__xludf.DUMMYFUNCTION("""COMPUTED_VALUE"""),"Jaikishan")</f>
        <v>Jaikishan</v>
      </c>
      <c r="R15" s="8">
        <f>IFERROR(__xludf.DUMMYFUNCTION("""COMPUTED_VALUE"""),43809.0)</f>
        <v>43809</v>
      </c>
      <c r="S15" s="7" t="str">
        <f>IFERROR(__xludf.DUMMYFUNCTION("""COMPUTED_VALUE"""),"")</f>
        <v/>
      </c>
      <c r="T15" s="7"/>
      <c r="U15" s="7"/>
      <c r="V15" s="7"/>
      <c r="W15" s="7"/>
      <c r="X15" s="7"/>
      <c r="Y15" s="7"/>
      <c r="Z15" s="7"/>
    </row>
    <row r="16">
      <c r="A16" s="7" t="str">
        <f>IFERROR(__xludf.DUMMYFUNCTION("""COMPUTED_VALUE"""),"TCM_dKosh_General_SMF1_033_000")</f>
        <v>TCM_dKosh_General_SMF1_033_000</v>
      </c>
      <c r="B16" s="7" t="str">
        <f>IFERROR(__xludf.DUMMYFUNCTION("""COMPUTED_VALUE"""),"TP_dKosh_General_SMF1_033")</f>
        <v>TP_dKosh_General_SMF1_033</v>
      </c>
      <c r="C16" s="7" t="str">
        <f>IFERROR(__xludf.DUMMYFUNCTION("""COMPUTED_VALUE"""),"")</f>
        <v/>
      </c>
      <c r="D16" s="7" t="str">
        <f>IFERROR(__xludf.DUMMYFUNCTION("""COMPUTED_VALUE"""),"")</f>
        <v/>
      </c>
      <c r="E16" s="7" t="str">
        <f>IFERROR(__xludf.DUMMYFUNCTION("""COMPUTED_VALUE"""),"Manage Responses")</f>
        <v>Manage Responses</v>
      </c>
      <c r="F16" s="7" t="str">
        <f>IFERROR(__xludf.DUMMYFUNCTION("""COMPUTED_VALUE"""),"View responses")</f>
        <v>View responses</v>
      </c>
      <c r="G16" s="7" t="str">
        <f>IFERROR(__xludf.DUMMYFUNCTION("""COMPUTED_VALUE"""),"M")</f>
        <v>M</v>
      </c>
      <c r="H16" s="7" t="str">
        <f>IFERROR(__xludf.DUMMYFUNCTION("""COMPUTED_VALUE"""),"Jaikishan")</f>
        <v>Jaikishan</v>
      </c>
      <c r="I16" s="7" t="str">
        <f>IFERROR(__xludf.DUMMYFUNCTION("""COMPUTED_VALUE"""),"Functional")</f>
        <v>Functional</v>
      </c>
      <c r="J16" s="7" t="str">
        <f>IFERROR(__xludf.DUMMYFUNCTION("""COMPUTED_VALUE"""),"1. Preview Form must be created
2. Respondent added to that form")</f>
        <v>1. Preview Form must be created
2. Respondent added to that form</v>
      </c>
      <c r="K16" s="7" t="str">
        <f>IFERROR(__xludf.DUMMYFUNCTION("""COMPUTED_VALUE"""),"Verify, list of responses show all respondent response or showing response hierarchy wise
")</f>
        <v>Verify, list of responses show all respondent response or showing response hierarchy wise
</v>
      </c>
      <c r="L16" s="7" t="str">
        <f>IFERROR(__xludf.DUMMYFUNCTION("""COMPUTED_VALUE"""),"")</f>
        <v/>
      </c>
      <c r="M16" s="7" t="str">
        <f>IFERROR(__xludf.DUMMYFUNCTION("""COMPUTED_VALUE"""),"1. Only self and thier team response showing in list.
2. If T.L have a permission to Edit,Verify,Approve then he should do action on response form.")</f>
        <v>1. Only self and thier team response showing in list.
2. If T.L have a permission to Edit,Verify,Approve then he should do action on response form.</v>
      </c>
      <c r="N16" s="7" t="str">
        <f>IFERROR(__xludf.DUMMYFUNCTION("""COMPUTED_VALUE"""),"")</f>
        <v/>
      </c>
      <c r="O16" s="7" t="str">
        <f>IFERROR(__xludf.DUMMYFUNCTION("""COMPUTED_VALUE"""),"Owner showing all response form.")</f>
        <v>Owner showing all response form.</v>
      </c>
      <c r="P16" s="7" t="str">
        <f>IFERROR(__xludf.DUMMYFUNCTION("""COMPUTED_VALUE"""),"Fail")</f>
        <v>Fail</v>
      </c>
      <c r="Q16" s="7" t="str">
        <f>IFERROR(__xludf.DUMMYFUNCTION("""COMPUTED_VALUE"""),"Jaikishan")</f>
        <v>Jaikishan</v>
      </c>
      <c r="R16" s="8">
        <f>IFERROR(__xludf.DUMMYFUNCTION("""COMPUTED_VALUE"""),43809.0)</f>
        <v>43809</v>
      </c>
      <c r="S16" s="7" t="str">
        <f>IFERROR(__xludf.DUMMYFUNCTION("""COMPUTED_VALUE"""),"")</f>
        <v/>
      </c>
      <c r="T16" s="7"/>
      <c r="U16" s="7"/>
      <c r="V16" s="7"/>
      <c r="W16" s="7"/>
      <c r="X16" s="7"/>
      <c r="Y16" s="7"/>
      <c r="Z16" s="7"/>
    </row>
    <row r="17">
      <c r="A17" s="7"/>
      <c r="B17" s="7"/>
      <c r="C17" s="7"/>
      <c r="D17" s="7"/>
      <c r="E17" s="7"/>
      <c r="F17" s="7"/>
      <c r="G17" s="7"/>
      <c r="H17" s="7"/>
      <c r="I17" s="7"/>
      <c r="J17" s="7"/>
      <c r="K17" s="7"/>
      <c r="L17" s="7"/>
      <c r="M17" s="7"/>
      <c r="N17" s="7"/>
      <c r="O17" s="7"/>
      <c r="P17" s="7"/>
      <c r="Q17" s="7"/>
      <c r="R17" s="7"/>
      <c r="S17" s="7"/>
      <c r="T17" s="7"/>
      <c r="U17" s="7"/>
      <c r="V17" s="7"/>
      <c r="W17" s="7"/>
      <c r="X17" s="7"/>
      <c r="Y17" s="7"/>
      <c r="Z17" s="7"/>
    </row>
    <row r="18">
      <c r="A18" s="7"/>
      <c r="B18" s="7"/>
      <c r="C18" s="7"/>
      <c r="D18" s="7"/>
      <c r="E18" s="7"/>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1"/>
</worksheet>
</file>