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9825" windowHeight="7035" firstSheet="11" activeTab="11"/>
  </bookViews>
  <sheets>
    <sheet name="Início" sheetId="3" r:id="rId1"/>
    <sheet name="Matriz" sheetId="4" state="hidden" r:id="rId2"/>
    <sheet name="PCEntradasN1" sheetId="5" r:id="rId3"/>
    <sheet name="PCEntradasN2" sheetId="6" r:id="rId4"/>
    <sheet name="PCSaídasN1" sheetId="7" r:id="rId5"/>
    <sheet name="PCSaídasN2" sheetId="8" r:id="rId6"/>
    <sheet name="RegistroEntradas" sheetId="9" r:id="rId7"/>
    <sheet name="RegistroSaidas" sheetId="10" r:id="rId8"/>
    <sheet name="FluxoDeCaixaConsolidado" sheetId="11" r:id="rId9"/>
    <sheet name="DetalhamentoDaReceita" sheetId="12" r:id="rId10"/>
    <sheet name="DetalhamentoDaDespesa" sheetId="13" r:id="rId11"/>
    <sheet name="ContasAPagar" sheetId="14" r:id="rId12"/>
    <sheet name="ContasAReceber" sheetId="15" r:id="rId13"/>
    <sheet name="ContasVencidasAReceber" sheetId="16" r:id="rId14"/>
    <sheet name="Dashboard financeiro anual" sheetId="18" r:id="rId15"/>
    <sheet name="Dashboard financeiro atual" sheetId="20" r:id="rId16"/>
    <sheet name="Dashboard financeiro anualD" sheetId="19" state="hidden" r:id="rId17"/>
    <sheet name="Dashboard financeiro atualD" sheetId="21" state="hidden" r:id="rId18"/>
    <sheet name="Entradas" sheetId="1" state="hidden" r:id="rId19"/>
    <sheet name="Saídas" sheetId="2" state="hidden" r:id="rId20"/>
  </sheets>
  <definedNames>
    <definedName name="_xlcn.WorksheetConnection_basededados1.xlsxTbRegistrosSaida" hidden="1">TbRegistrosSaida[]</definedName>
    <definedName name="PcEntradasN1" localSheetId="15">TbPCEntradasN1[Nível 1]</definedName>
    <definedName name="PcEntradasN1" localSheetId="17">TbPCEntradasN1[Nível 1]</definedName>
    <definedName name="PcEntradasN1">TbPCEntradasN1[Nível 1]</definedName>
    <definedName name="PCEntradasN2_Nivel_1" localSheetId="15">TbPCEntradasN2[Nível 1]</definedName>
    <definedName name="PCEntradasN2_Nivel_1" localSheetId="17">TbPCEntradasN2[Nível 1]</definedName>
    <definedName name="PCEntradasN2_Nivel_1">TbPCEntradasN2[Nível 1]</definedName>
    <definedName name="PCEntradasN2_Nivel2" localSheetId="15">TbPCEntradasN2[Nível 2]</definedName>
    <definedName name="PCEntradasN2_Nivel2" localSheetId="17">TbPCEntradasN2[Nível 2]</definedName>
    <definedName name="PCEntradasN2_Nivel2">TbPCEntradasN2[Nível 2]</definedName>
    <definedName name="PcEntradasN2N1" localSheetId="15">TbPCEntradasN2[Nível 1]</definedName>
    <definedName name="PcEntradasN2N1" localSheetId="17">TbPCEntradasN2[Nível 1]</definedName>
    <definedName name="PcEntradasN2N1">TbPCEntradasN2[Nível 1]</definedName>
    <definedName name="pcEntradasN2N2" localSheetId="15">TbPCEntradasN2[Nível 2]</definedName>
    <definedName name="pcEntradasN2N2" localSheetId="17">TbPCEntradasN2[Nível 2]</definedName>
    <definedName name="pcEntradasN2N2">TbPCEntradasN2[Nível 2]</definedName>
    <definedName name="SaidasN2n1" localSheetId="15">Tabela4[Nível 1]</definedName>
    <definedName name="SaidasN2n1" localSheetId="17">Tabela4[Nível 1]</definedName>
    <definedName name="SaidasN2n1">Tabela4[Nível 1]</definedName>
    <definedName name="SaidasN2N2" localSheetId="15">Tabela4[Nível 2]</definedName>
    <definedName name="SaidasN2N2" localSheetId="17">Tabela4[Nível 2]</definedName>
    <definedName name="SaidasN2N2">Tabela4[Nível 2]</definedName>
    <definedName name="SaidasNivel1" localSheetId="15">TBSaidasNivel1[Nível 1]</definedName>
    <definedName name="SaidasNivel1" localSheetId="17">TBSaidasNivel1[Nível 1]</definedName>
    <definedName name="SaidasNivel1">TBSaidasNivel1[Nível 1]</definedName>
    <definedName name="SegmentaçãodeDados_Ano__Competência">#N/A</definedName>
    <definedName name="SegmentaçãodeDados_Ano__Competência1">#N/A</definedName>
    <definedName name="SegmentaçãodeDados_Ano__Competência2">#N/A</definedName>
    <definedName name="SegmentaçãodeDados_Ano_Previsto">#N/A</definedName>
    <definedName name="SegmentaçãodeDados_Ano_Previsto1">#N/A</definedName>
    <definedName name="SegmentaçãodeDados_Mês__Competência">#N/A</definedName>
    <definedName name="SegmentaçãodeDados_Mês__Competência1">#N/A</definedName>
    <definedName name="SegmentaçãodeDados_Mês_previsto">#N/A</definedName>
    <definedName name="SegmentaçãodeDados_Mês_previsto1">#N/A</definedName>
    <definedName name="TBPCSaidasN1" localSheetId="15">TBSaidasNivel1[Nível 1]</definedName>
    <definedName name="TBPCSaidasN1" localSheetId="17">TBSaidasNivel1[Nível 1]</definedName>
    <definedName name="TBPCSaidasN1">TBSaidasNivel1[Nível 1]</definedName>
  </definedNames>
  <calcPr calcId="152511"/>
  <pivotCaches>
    <pivotCache cacheId="1" r:id="rId21"/>
    <pivotCache cacheId="2" r:id="rId22"/>
    <pivotCache cacheId="10" r:id="rId23"/>
  </pivotCaches>
  <extLst>
    <ext xmlns:x14="http://schemas.microsoft.com/office/spreadsheetml/2009/9/main" uri="{876F7934-8845-4945-9796-88D515C7AA90}">
      <x14:pivotCaches>
        <pivotCache cacheId="3" r:id="rId24"/>
      </x14:pivotCaches>
    </ext>
    <ext xmlns:x14="http://schemas.microsoft.com/office/spreadsheetml/2009/9/main" uri="{BBE1A952-AA13-448e-AADC-164F8A28A991}">
      <x14:slicerCaches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  <x14:slicerCache r:id="rId3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bRegistrosSaida-c75b8d8b-9ff4-4936-a9d8-654007a44d7b" name="TbRegistrosSaida" connection="WorksheetConnection_base-de-dados-1.xlsx!TbRegistrosSaida"/>
        </x15:modelTables>
      </x15:dataModel>
    </ext>
  </extLst>
</workbook>
</file>

<file path=xl/calcChain.xml><?xml version="1.0" encoding="utf-8"?>
<calcChain xmlns="http://schemas.openxmlformats.org/spreadsheetml/2006/main">
  <c r="I33" i="19" l="1"/>
  <c r="L8" i="18"/>
  <c r="I33" i="21"/>
  <c r="K5" i="21"/>
  <c r="D6" i="21"/>
  <c r="D5" i="21"/>
  <c r="I9" i="21" s="1"/>
  <c r="I32" i="19"/>
  <c r="D10" i="21" l="1"/>
  <c r="E15" i="21"/>
  <c r="B11" i="20" s="1"/>
  <c r="H11" i="21"/>
  <c r="I15" i="21"/>
  <c r="I11" i="21"/>
  <c r="I7" i="21"/>
  <c r="D11" i="21"/>
  <c r="H6" i="21"/>
  <c r="H14" i="21"/>
  <c r="H10" i="21"/>
  <c r="I6" i="21"/>
  <c r="I14" i="21"/>
  <c r="I10" i="21"/>
  <c r="E14" i="21"/>
  <c r="B8" i="20" s="1"/>
  <c r="H16" i="21"/>
  <c r="H12" i="21"/>
  <c r="H8" i="21"/>
  <c r="I16" i="21"/>
  <c r="I12" i="21"/>
  <c r="I8" i="21"/>
  <c r="H15" i="21"/>
  <c r="H7" i="21"/>
  <c r="D9" i="21"/>
  <c r="H17" i="21"/>
  <c r="H13" i="21"/>
  <c r="H9" i="21"/>
  <c r="I17" i="21"/>
  <c r="I13" i="21"/>
  <c r="M4" i="21"/>
  <c r="K15" i="21" s="1"/>
  <c r="L15" i="21" s="1"/>
  <c r="C33" i="21"/>
  <c r="C23" i="21"/>
  <c r="H28" i="21"/>
  <c r="C28" i="21"/>
  <c r="I32" i="21"/>
  <c r="O234" i="10"/>
  <c r="O233" i="10"/>
  <c r="O232" i="10"/>
  <c r="O230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6" i="10"/>
  <c r="O164" i="10"/>
  <c r="O158" i="10"/>
  <c r="O156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7" i="10"/>
  <c r="O159" i="10"/>
  <c r="O160" i="10"/>
  <c r="O161" i="10"/>
  <c r="O162" i="10"/>
  <c r="O163" i="10"/>
  <c r="O165" i="10"/>
  <c r="O167" i="10"/>
  <c r="O168" i="10"/>
  <c r="O169" i="10"/>
  <c r="O199" i="10"/>
  <c r="O229" i="10"/>
  <c r="O231" i="10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I35" i="21" l="1"/>
  <c r="I38" i="21"/>
  <c r="I42" i="21"/>
  <c r="I40" i="21"/>
  <c r="I37" i="21"/>
  <c r="I45" i="21"/>
  <c r="I34" i="21"/>
  <c r="I39" i="21"/>
  <c r="I43" i="21"/>
  <c r="I36" i="21"/>
  <c r="I44" i="21"/>
  <c r="I41" i="21"/>
  <c r="D33" i="21"/>
  <c r="E33" i="21"/>
  <c r="J28" i="21"/>
  <c r="I28" i="21"/>
  <c r="E28" i="21"/>
  <c r="D28" i="21"/>
  <c r="K17" i="21"/>
  <c r="L17" i="21" s="1"/>
  <c r="K10" i="21"/>
  <c r="L10" i="21" s="1"/>
  <c r="K11" i="21"/>
  <c r="L11" i="21" s="1"/>
  <c r="K8" i="21"/>
  <c r="L8" i="21" s="1"/>
  <c r="K12" i="21"/>
  <c r="L12" i="21" s="1"/>
  <c r="K16" i="21"/>
  <c r="L16" i="21" s="1"/>
  <c r="K14" i="21"/>
  <c r="L14" i="21" s="1"/>
  <c r="E23" i="21"/>
  <c r="D23" i="21"/>
  <c r="K13" i="21"/>
  <c r="L13" i="21" s="1"/>
  <c r="K6" i="21"/>
  <c r="K7" i="21"/>
  <c r="L7" i="21" s="1"/>
  <c r="K9" i="21"/>
  <c r="L9" i="21" s="1"/>
  <c r="D12" i="21"/>
  <c r="B5" i="20" s="1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6" i="9"/>
  <c r="F33" i="21" l="1"/>
  <c r="I15" i="20" s="1"/>
  <c r="I46" i="21"/>
  <c r="L6" i="21"/>
  <c r="L8" i="20"/>
  <c r="F23" i="21"/>
  <c r="B15" i="20" s="1"/>
  <c r="K28" i="21"/>
  <c r="G16" i="20" s="1"/>
  <c r="F28" i="21"/>
  <c r="F16" i="20" s="1"/>
  <c r="K5" i="19"/>
  <c r="D5" i="19" l="1"/>
  <c r="I31" i="19" s="1"/>
  <c r="I41" i="19" l="1"/>
  <c r="I36" i="19"/>
  <c r="I42" i="19"/>
  <c r="I37" i="19"/>
  <c r="I43" i="19"/>
  <c r="I38" i="19"/>
  <c r="I44" i="19"/>
  <c r="I39" i="19"/>
  <c r="I34" i="19"/>
  <c r="I40" i="19"/>
  <c r="I35" i="19"/>
  <c r="C23" i="19"/>
  <c r="C33" i="19"/>
  <c r="H27" i="19"/>
  <c r="C28" i="19"/>
  <c r="M4" i="1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12" i="9"/>
  <c r="Q8" i="9"/>
  <c r="Q9" i="9"/>
  <c r="Q10" i="9"/>
  <c r="Q11" i="9"/>
  <c r="N2" i="16"/>
  <c r="I45" i="19" l="1"/>
  <c r="J27" i="19"/>
  <c r="I27" i="19"/>
  <c r="D28" i="19"/>
  <c r="E28" i="19"/>
  <c r="D33" i="19"/>
  <c r="E33" i="1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16" i="18" l="1"/>
  <c r="M16" i="20"/>
  <c r="F28" i="19"/>
  <c r="K27" i="19"/>
  <c r="F33" i="19"/>
  <c r="I15" i="18" s="1"/>
  <c r="H17" i="19"/>
  <c r="H8" i="19"/>
  <c r="H10" i="19"/>
  <c r="H12" i="19"/>
  <c r="H7" i="19"/>
  <c r="H16" i="19"/>
  <c r="H14" i="19"/>
  <c r="H11" i="19"/>
  <c r="H13" i="19"/>
  <c r="H15" i="19"/>
  <c r="H9" i="19"/>
  <c r="H6" i="19"/>
  <c r="E14" i="19"/>
  <c r="B8" i="18" s="1"/>
  <c r="E15" i="19"/>
  <c r="B11" i="18" s="1"/>
  <c r="I7" i="19"/>
  <c r="I8" i="19"/>
  <c r="I10" i="19"/>
  <c r="I17" i="19"/>
  <c r="I9" i="19"/>
  <c r="I11" i="19"/>
  <c r="I12" i="19"/>
  <c r="I14" i="19"/>
  <c r="I6" i="19"/>
  <c r="I13" i="19"/>
  <c r="I15" i="19"/>
  <c r="I16" i="19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I6" i="9"/>
  <c r="G16" i="18" l="1"/>
  <c r="F16" i="18"/>
  <c r="D23" i="19"/>
  <c r="E23" i="19"/>
  <c r="K7" i="19"/>
  <c r="L7" i="19" s="1"/>
  <c r="K10" i="19"/>
  <c r="L10" i="19" s="1"/>
  <c r="K15" i="19"/>
  <c r="L15" i="19" s="1"/>
  <c r="K6" i="19"/>
  <c r="K8" i="19"/>
  <c r="L8" i="19" s="1"/>
  <c r="K12" i="19"/>
  <c r="L12" i="19" s="1"/>
  <c r="K9" i="19"/>
  <c r="L9" i="19" s="1"/>
  <c r="K14" i="19"/>
  <c r="L14" i="19" s="1"/>
  <c r="K13" i="19"/>
  <c r="L13" i="19" s="1"/>
  <c r="K16" i="19"/>
  <c r="L16" i="19" s="1"/>
  <c r="K17" i="19"/>
  <c r="L17" i="19" s="1"/>
  <c r="K11" i="19"/>
  <c r="L11" i="19" s="1"/>
  <c r="N18" i="11"/>
  <c r="N25" i="11" s="1"/>
  <c r="M18" i="11"/>
  <c r="M25" i="11" s="1"/>
  <c r="C18" i="11"/>
  <c r="C25" i="11" s="1"/>
  <c r="K18" i="11"/>
  <c r="K25" i="11" s="1"/>
  <c r="G18" i="11"/>
  <c r="G25" i="11" s="1"/>
  <c r="D18" i="11"/>
  <c r="D25" i="11" s="1"/>
  <c r="H18" i="11"/>
  <c r="H25" i="11" s="1"/>
  <c r="L18" i="11"/>
  <c r="L25" i="11" s="1"/>
  <c r="E18" i="11"/>
  <c r="E25" i="11" s="1"/>
  <c r="I18" i="11"/>
  <c r="I25" i="11" s="1"/>
  <c r="F18" i="11"/>
  <c r="F25" i="11" s="1"/>
  <c r="J18" i="11"/>
  <c r="J25" i="11" s="1"/>
  <c r="C17" i="11"/>
  <c r="K19" i="11"/>
  <c r="K26" i="11" s="1"/>
  <c r="D19" i="11"/>
  <c r="D26" i="11" s="1"/>
  <c r="H19" i="11"/>
  <c r="H26" i="11" s="1"/>
  <c r="H27" i="11" s="1"/>
  <c r="L19" i="11"/>
  <c r="L26" i="11" s="1"/>
  <c r="E19" i="11"/>
  <c r="E26" i="11" s="1"/>
  <c r="I19" i="11"/>
  <c r="I26" i="11" s="1"/>
  <c r="M19" i="11"/>
  <c r="M26" i="11" s="1"/>
  <c r="C19" i="11"/>
  <c r="F19" i="11"/>
  <c r="F26" i="11" s="1"/>
  <c r="J19" i="11"/>
  <c r="J26" i="11" s="1"/>
  <c r="N19" i="11"/>
  <c r="N26" i="11" s="1"/>
  <c r="G19" i="11"/>
  <c r="G26" i="11" s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121" i="9"/>
  <c r="J103" i="9"/>
  <c r="J104" i="9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F23" i="19" l="1"/>
  <c r="B15" i="18" s="1"/>
  <c r="L6" i="19"/>
  <c r="D11" i="19"/>
  <c r="D9" i="19"/>
  <c r="D10" i="19"/>
  <c r="K27" i="11"/>
  <c r="K28" i="11"/>
  <c r="L27" i="11"/>
  <c r="G27" i="11"/>
  <c r="C20" i="11"/>
  <c r="D17" i="11" s="1"/>
  <c r="D20" i="11" s="1"/>
  <c r="E17" i="11" s="1"/>
  <c r="E20" i="11" s="1"/>
  <c r="F17" i="11" s="1"/>
  <c r="F20" i="11" s="1"/>
  <c r="G17" i="11" s="1"/>
  <c r="G20" i="11" s="1"/>
  <c r="H17" i="11" s="1"/>
  <c r="H20" i="11" s="1"/>
  <c r="I17" i="11" s="1"/>
  <c r="I20" i="11" s="1"/>
  <c r="J17" i="11" s="1"/>
  <c r="J20" i="11" s="1"/>
  <c r="K17" i="11" s="1"/>
  <c r="K20" i="11" s="1"/>
  <c r="L17" i="11" s="1"/>
  <c r="L20" i="11" s="1"/>
  <c r="M17" i="11" s="1"/>
  <c r="M20" i="11" s="1"/>
  <c r="N17" i="11" s="1"/>
  <c r="N20" i="11" s="1"/>
  <c r="D27" i="11"/>
  <c r="L28" i="11"/>
  <c r="G28" i="11"/>
  <c r="M27" i="11"/>
  <c r="D28" i="11"/>
  <c r="F28" i="11"/>
  <c r="I27" i="11"/>
  <c r="J27" i="1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E28" i="11"/>
  <c r="H28" i="11"/>
  <c r="N27" i="11"/>
  <c r="N28" i="11"/>
  <c r="M28" i="11"/>
  <c r="C28" i="11"/>
  <c r="C26" i="11"/>
  <c r="C27" i="11" s="1"/>
  <c r="F27" i="11"/>
  <c r="E27" i="11"/>
  <c r="J28" i="11"/>
  <c r="I28" i="11"/>
  <c r="L11" i="11"/>
  <c r="K11" i="11"/>
  <c r="N11" i="11"/>
  <c r="G11" i="11"/>
  <c r="D11" i="11"/>
  <c r="H11" i="11"/>
  <c r="E11" i="11"/>
  <c r="I11" i="11"/>
  <c r="M11" i="11"/>
  <c r="C11" i="11"/>
  <c r="C9" i="11"/>
  <c r="F11" i="11"/>
  <c r="J11" i="11"/>
  <c r="M10" i="11"/>
  <c r="F10" i="11"/>
  <c r="J10" i="11"/>
  <c r="N10" i="11"/>
  <c r="G10" i="11"/>
  <c r="K10" i="11"/>
  <c r="C10" i="11"/>
  <c r="D10" i="11"/>
  <c r="H10" i="11"/>
  <c r="L10" i="11"/>
  <c r="E10" i="11"/>
  <c r="I10" i="11"/>
  <c r="E235" i="10"/>
  <c r="D12" i="19" l="1"/>
  <c r="B5" i="18" s="1"/>
  <c r="C12" i="11"/>
  <c r="D9" i="11" s="1"/>
  <c r="D12" i="11" s="1"/>
  <c r="E9" i="11" s="1"/>
  <c r="E12" i="11" s="1"/>
  <c r="F9" i="11" s="1"/>
  <c r="F12" i="11" s="1"/>
  <c r="G9" i="11" s="1"/>
  <c r="G12" i="11" s="1"/>
  <c r="H9" i="11" s="1"/>
  <c r="H12" i="11" s="1"/>
  <c r="I9" i="11" s="1"/>
  <c r="I12" i="11" s="1"/>
  <c r="J9" i="11" s="1"/>
  <c r="J12" i="11" s="1"/>
  <c r="K9" i="11" s="1"/>
  <c r="K12" i="11" s="1"/>
  <c r="L9" i="11" s="1"/>
  <c r="L12" i="11" s="1"/>
  <c r="M9" i="11" s="1"/>
  <c r="M12" i="11" s="1"/>
  <c r="N9" i="11" s="1"/>
  <c r="N12" i="11" s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ase-de-dados-1.xlsx!TbRegistrosSaida" type="102" refreshedVersion="5" minRefreshableVersion="5">
    <extLst>
      <ext xmlns:x15="http://schemas.microsoft.com/office/spreadsheetml/2010/11/main" uri="{DE250136-89BD-433C-8126-D09CA5730AF9}">
        <x15:connection id="TbRegistrosSaida-c75b8d8b-9ff4-4936-a9d8-654007a44d7b" autoDelete="1">
          <x15:rangePr sourceName="_xlcn.WorksheetConnection_basededados1.xlsxTbRegistrosSaida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RegistrosSaida].[Ano  Competênci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<sst xmlns="http://schemas.openxmlformats.org/spreadsheetml/2006/main" count="1846" uniqueCount="618">
  <si>
    <t>Vendas de mercadorias</t>
  </si>
  <si>
    <t>NF001</t>
  </si>
  <si>
    <t>NF773</t>
  </si>
  <si>
    <t>Informática</t>
  </si>
  <si>
    <t>NF2639</t>
  </si>
  <si>
    <t>Livros</t>
  </si>
  <si>
    <t>NF-16</t>
  </si>
  <si>
    <t>Data da Competência</t>
  </si>
  <si>
    <t>Data do Caixa Previsto</t>
  </si>
  <si>
    <t>Data do Caixa Realizado</t>
  </si>
  <si>
    <t>Conta Nível 1</t>
  </si>
  <si>
    <t>Conta Nível 2</t>
  </si>
  <si>
    <t>Histórico</t>
  </si>
  <si>
    <t>Valor</t>
  </si>
  <si>
    <t>Despesas administrativas</t>
  </si>
  <si>
    <t>Energia elétrica</t>
  </si>
  <si>
    <t>Compra de mercadorias</t>
  </si>
  <si>
    <t>Eletrodomésticos</t>
  </si>
  <si>
    <t>NF2187</t>
  </si>
  <si>
    <t>Despesas comerciais</t>
  </si>
  <si>
    <t>Encargos sobre os salários dos vendedores</t>
  </si>
  <si>
    <t xml:space="preserve"> </t>
  </si>
  <si>
    <t>Salários dos vendedores</t>
  </si>
  <si>
    <t>NF1234</t>
  </si>
  <si>
    <t>Móveis</t>
  </si>
  <si>
    <t>FLUXO DE CAIXA EMPRESARIAL</t>
  </si>
  <si>
    <t>Empresa</t>
  </si>
  <si>
    <t>Responsável</t>
  </si>
  <si>
    <t>Lojas educandoWeb LTDA</t>
  </si>
  <si>
    <t>Victor Von</t>
  </si>
  <si>
    <t>Plano de contas de entrada - Nível 1</t>
  </si>
  <si>
    <t>Plano de contas de entrada - Nível 2</t>
  </si>
  <si>
    <t>Detalhamento da despesa</t>
  </si>
  <si>
    <t>Detalhamento da receita</t>
  </si>
  <si>
    <t>Contas a pagar</t>
  </si>
  <si>
    <t>Contas a receber</t>
  </si>
  <si>
    <t>Contas vencidas a receber</t>
  </si>
  <si>
    <t>Plano de contas de saída - Nível 1</t>
  </si>
  <si>
    <t>FLUXO DE CAIXA E RESULTADO MENSAL</t>
  </si>
  <si>
    <t>Registros de entradas</t>
  </si>
  <si>
    <t>Plano de contas de saídas - Nível 2</t>
  </si>
  <si>
    <t>Sobre plano de contas</t>
  </si>
  <si>
    <t>É um conjunto de classificações usado para registrar as atividades de uma empresa</t>
  </si>
  <si>
    <t>Esse conjunto serve para estruturar relatórios contábeis e gerenciais, agrupando as</t>
  </si>
  <si>
    <t>informações em classificações</t>
  </si>
  <si>
    <t>Empréstimos de curto prazo</t>
  </si>
  <si>
    <t>Financiamentos de longo prazo</t>
  </si>
  <si>
    <t>Receitas financeiras</t>
  </si>
  <si>
    <t>Venda de ativos</t>
  </si>
  <si>
    <t>Som e imagem</t>
  </si>
  <si>
    <t>Entradas - Nível 1</t>
  </si>
  <si>
    <t>Saidas - Nível 1</t>
  </si>
  <si>
    <t>Compras de mercadorias</t>
  </si>
  <si>
    <t>Desepesas financeiras</t>
  </si>
  <si>
    <t>Imposto de renda</t>
  </si>
  <si>
    <t>Internet</t>
  </si>
  <si>
    <t>Telefonia</t>
  </si>
  <si>
    <t>Nível 2 detalhe</t>
  </si>
  <si>
    <t>Nível 2 - fetalhe</t>
  </si>
  <si>
    <t>Plano de contas de entrada nível 1</t>
  </si>
  <si>
    <t>Nível 1</t>
  </si>
  <si>
    <t>Financiamento de longo prazo</t>
  </si>
  <si>
    <t>Receitas Financeiras</t>
  </si>
  <si>
    <t>Doações</t>
  </si>
  <si>
    <t>Plano de contas de entrada - nível 2</t>
  </si>
  <si>
    <t>Nível 2</t>
  </si>
  <si>
    <t>Empréstimo de capital de giro</t>
  </si>
  <si>
    <t>Juros sobre aplicações</t>
  </si>
  <si>
    <t>Mobiliário próprio</t>
  </si>
  <si>
    <t>Plano de contas de saída - nível 1</t>
  </si>
  <si>
    <t>Despesas financeiras</t>
  </si>
  <si>
    <t>Impostos de renda</t>
  </si>
  <si>
    <t>Impostos sobre as vendas</t>
  </si>
  <si>
    <t>Plano de contas de saídas - nível 2</t>
  </si>
  <si>
    <t>Comunicação - Internet e telefonia</t>
  </si>
  <si>
    <t>Juros sobre empréstimos</t>
  </si>
  <si>
    <t>IR sobre o lucro presumido</t>
  </si>
  <si>
    <t>Vestuário</t>
  </si>
  <si>
    <t>Geral</t>
  </si>
  <si>
    <t>SaidasN2n1</t>
  </si>
  <si>
    <t>SaidasN2N2</t>
  </si>
  <si>
    <t>Teste:</t>
  </si>
  <si>
    <t>Registros das saídas de caixa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</si>
  <si>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</si>
  <si>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</si>
  <si>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</si>
  <si>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</si>
  <si>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</si>
  <si>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</si>
  <si>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</si>
  <si>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</si>
  <si>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</si>
  <si>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</si>
  <si>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</si>
  <si>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</si>
  <si>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</si>
  <si>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</si>
  <si>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</si>
  <si>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</si>
  <si>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</si>
  <si>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</si>
  <si>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</si>
  <si>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</si>
  <si>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</si>
  <si>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</si>
  <si>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</si>
  <si>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</si>
  <si>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</si>
  <si>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</si>
  <si>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</si>
  <si>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</si>
  <si>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</si>
  <si>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</si>
  <si>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</si>
  <si>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</si>
  <si>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</si>
  <si>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</si>
  <si>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</si>
  <si>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</si>
  <si>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</si>
  <si>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</si>
  <si>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</si>
  <si>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</si>
  <si>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</si>
  <si>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</si>
  <si>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</si>
  <si>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</si>
  <si>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</si>
  <si>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</si>
  <si>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</si>
  <si>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</si>
  <si>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</si>
  <si>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</si>
  <si>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</si>
  <si>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</si>
  <si>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</si>
  <si>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</si>
  <si>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</si>
  <si>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</si>
  <si>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</si>
  <si>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</si>
  <si>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</si>
  <si>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</si>
  <si>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</si>
  <si>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</si>
  <si>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</si>
  <si>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</si>
  <si>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</si>
  <si>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</si>
  <si>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</si>
  <si>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</si>
  <si>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</si>
  <si>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</si>
  <si>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</si>
  <si>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</si>
  <si>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</si>
  <si>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</si>
  <si>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</si>
  <si>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</si>
  <si>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</si>
  <si>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</si>
  <si>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</si>
  <si>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</si>
  <si>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</si>
  <si>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</si>
  <si>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</si>
  <si>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</si>
  <si>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</si>
  <si>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</si>
  <si>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</si>
  <si>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</si>
  <si>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</si>
  <si>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</si>
  <si>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</si>
  <si>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</si>
  <si>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</si>
  <si>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</si>
  <si>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</si>
  <si>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</si>
  <si>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</si>
  <si>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</si>
  <si>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</si>
  <si>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</si>
  <si>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</si>
  <si>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</si>
  <si>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</si>
  <si>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</si>
  <si>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</si>
  <si>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</si>
  <si>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</si>
  <si>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</si>
  <si>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</si>
  <si>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</si>
  <si>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</si>
  <si>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</si>
  <si>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</si>
  <si>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</si>
  <si>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</si>
  <si>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</si>
  <si>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</si>
  <si>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</si>
  <si>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</si>
  <si>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</si>
  <si>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</si>
  <si>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</si>
  <si>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</si>
  <si>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</si>
  <si>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</si>
  <si>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</si>
  <si>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</si>
  <si>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</si>
  <si>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</si>
  <si>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</si>
  <si>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</si>
  <si>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</si>
  <si>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</si>
  <si>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</si>
  <si>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</si>
  <si>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</si>
  <si>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</si>
  <si>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</si>
  <si>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</si>
  <si>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</si>
  <si>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</si>
  <si>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</si>
  <si>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</si>
  <si>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</si>
  <si>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</si>
  <si>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</si>
  <si>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</si>
  <si>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</si>
  <si>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</si>
  <si>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</si>
  <si>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</si>
  <si>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</si>
  <si>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</si>
  <si>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</si>
  <si>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</si>
  <si>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</si>
  <si>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</si>
  <si>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</si>
  <si>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</si>
  <si>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</si>
  <si>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</si>
  <si>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</si>
  <si>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</si>
  <si>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</si>
  <si>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</si>
  <si>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</si>
  <si>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</si>
  <si>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</si>
  <si>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</si>
  <si>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</si>
  <si>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</si>
  <si>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</si>
  <si>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</si>
  <si>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</si>
  <si>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</si>
  <si>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</si>
  <si>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</si>
  <si>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</si>
  <si>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</si>
  <si>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</si>
  <si>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</si>
  <si>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</si>
  <si>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</si>
  <si>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</si>
  <si>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</si>
  <si>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</si>
  <si>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</si>
  <si>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</si>
  <si>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</si>
  <si>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</si>
  <si>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</si>
  <si>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</si>
  <si>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</si>
  <si>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</si>
  <si>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</si>
  <si>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</si>
  <si>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</si>
  <si>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</si>
  <si>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</si>
  <si>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</si>
  <si>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</si>
  <si>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</si>
  <si>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</si>
  <si>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</si>
  <si>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</si>
  <si>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</si>
  <si>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</si>
  <si>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</si>
  <si>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</si>
  <si>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</si>
  <si>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</si>
  <si>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</si>
  <si>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</si>
  <si>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</si>
  <si>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</si>
  <si>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</si>
  <si>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</si>
  <si>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</si>
  <si>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</si>
  <si>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</si>
  <si>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</si>
  <si>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</si>
  <si>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</si>
  <si>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</si>
  <si>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</si>
  <si>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</si>
  <si>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</si>
  <si>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</si>
  <si>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</si>
  <si>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</si>
  <si>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</si>
  <si>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</si>
  <si>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</si>
  <si>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</si>
  <si>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</si>
  <si>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</si>
  <si>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</si>
  <si>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</si>
  <si>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</si>
  <si>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</si>
  <si>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</si>
  <si>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</si>
  <si>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</si>
  <si>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</si>
  <si>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</si>
  <si>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</si>
  <si>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</si>
  <si>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</si>
  <si>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</si>
  <si>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</si>
  <si>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</si>
  <si>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</si>
  <si>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</si>
  <si>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</si>
  <si>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</si>
  <si>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</si>
  <si>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</si>
  <si>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</si>
  <si>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</si>
  <si>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</si>
  <si>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</si>
  <si>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</si>
  <si>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</si>
  <si>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</si>
  <si>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</si>
  <si>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</si>
  <si>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</si>
  <si>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</si>
  <si>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</si>
  <si>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</si>
  <si>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</si>
  <si>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</si>
  <si>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</si>
  <si>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</si>
  <si>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</si>
  <si>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</si>
  <si>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</si>
  <si>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</si>
  <si>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</si>
  <si>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</si>
  <si>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</si>
  <si>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</si>
  <si>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</si>
  <si>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</si>
  <si>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</si>
  <si>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</si>
  <si>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</si>
  <si>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</si>
  <si>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</si>
  <si>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</si>
  <si>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</si>
  <si>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</si>
  <si>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</si>
  <si>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</si>
  <si>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</si>
  <si>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</si>
  <si>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</si>
  <si>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</si>
  <si>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</si>
  <si>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</si>
  <si>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</si>
  <si>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</si>
  <si>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</si>
  <si>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</si>
  <si>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</si>
  <si>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</si>
  <si>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</si>
  <si>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</si>
  <si>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</si>
  <si>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</si>
  <si>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</si>
  <si>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</si>
  <si>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</si>
  <si>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</si>
  <si>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</si>
  <si>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</si>
  <si>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</si>
  <si>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</si>
  <si>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</si>
  <si>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</si>
  <si>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</si>
  <si>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</si>
  <si>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</si>
  <si>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</si>
  <si>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</si>
  <si>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</si>
  <si>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</si>
  <si>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</si>
  <si>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</si>
  <si>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</si>
  <si>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</si>
  <si>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</si>
  <si>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</si>
  <si>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</si>
  <si>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</si>
  <si>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</si>
  <si>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</si>
  <si>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</si>
  <si>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</si>
  <si>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</si>
  <si>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</si>
  <si>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</si>
  <si>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</si>
  <si>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</si>
  <si>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</si>
  <si>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</si>
  <si>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</si>
  <si>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</si>
  <si>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</si>
  <si>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</si>
  <si>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</si>
  <si>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</si>
  <si>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</si>
  <si>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</si>
  <si>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</si>
  <si>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</si>
  <si>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</si>
  <si>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</si>
  <si>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</si>
  <si>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</si>
  <si>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</si>
  <si>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</si>
  <si>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</si>
  <si>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</si>
  <si>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</si>
  <si>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</si>
  <si>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</si>
  <si>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</si>
  <si>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</si>
  <si>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</si>
  <si>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</si>
  <si>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</si>
  <si>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</si>
  <si>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</si>
  <si>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</si>
  <si>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</si>
  <si>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</si>
  <si>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</si>
  <si>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</si>
  <si>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</si>
  <si>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</si>
  <si>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</si>
  <si>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</si>
  <si>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</si>
  <si>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</si>
  <si>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</si>
  <si>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</si>
  <si>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</si>
  <si>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</si>
  <si>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</si>
  <si>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</si>
  <si>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</si>
  <si>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</si>
  <si>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</si>
  <si>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</si>
  <si>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</si>
  <si>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</si>
  <si>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</si>
  <si>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</si>
  <si>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</si>
  <si>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</si>
  <si>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</si>
  <si>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</si>
  <si>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</si>
  <si>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</si>
  <si>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</si>
  <si>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</si>
  <si>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</si>
  <si>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</si>
  <si>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</si>
  <si>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</si>
  <si>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</si>
  <si>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</si>
  <si>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</si>
  <si>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</si>
  <si>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</si>
  <si>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</si>
  <si>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</si>
  <si>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</si>
  <si>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</si>
  <si>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</si>
  <si>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</si>
  <si>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</si>
  <si>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</si>
  <si>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</si>
  <si>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</si>
  <si>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</si>
  <si>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</si>
  <si>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</si>
  <si>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</si>
  <si>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</si>
  <si>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</si>
  <si>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</si>
  <si>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</si>
  <si>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</si>
  <si>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</si>
  <si>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</si>
  <si>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</si>
  <si>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</si>
  <si>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</si>
  <si>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</si>
  <si>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</si>
  <si>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</si>
  <si>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</si>
  <si>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</si>
  <si>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</si>
  <si>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</si>
  <si>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</si>
  <si>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</si>
  <si>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</si>
  <si>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</si>
  <si>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</si>
  <si>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</si>
  <si>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</si>
  <si>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</si>
  <si>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</si>
  <si>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</si>
  <si>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</si>
  <si>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</si>
  <si>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</si>
  <si>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</si>
  <si>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</si>
  <si>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</si>
  <si>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</si>
  <si>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</si>
  <si>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</si>
  <si>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</si>
  <si>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</si>
  <si>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</si>
  <si>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</si>
  <si>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</si>
  <si>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</si>
  <si>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Entradas</t>
  </si>
  <si>
    <t>Total Saídas</t>
  </si>
  <si>
    <t>Lucro</t>
  </si>
  <si>
    <t>Prejuízo</t>
  </si>
  <si>
    <t>Acumulado</t>
  </si>
  <si>
    <t>Mês Caixa</t>
  </si>
  <si>
    <t>Ano Caixa</t>
  </si>
  <si>
    <t>Mês 
Competência</t>
  </si>
  <si>
    <t>Ano 
Competência</t>
  </si>
  <si>
    <t>(Tudo)</t>
  </si>
  <si>
    <t>Rótulos de Linha</t>
  </si>
  <si>
    <t>Total Geral</t>
  </si>
  <si>
    <t>Rótulos de Coluna</t>
  </si>
  <si>
    <t>Soma de Valor</t>
  </si>
  <si>
    <t>Ano  Competência</t>
  </si>
  <si>
    <t>All</t>
  </si>
  <si>
    <t>Mês previsto</t>
  </si>
  <si>
    <t>Ano Previsto</t>
  </si>
  <si>
    <t>0 Total</t>
  </si>
  <si>
    <t>Conta vencida</t>
  </si>
  <si>
    <t>Vencida</t>
  </si>
  <si>
    <t>Saldo de caixa</t>
  </si>
  <si>
    <t>Contas a pagar e a Receber mensal</t>
  </si>
  <si>
    <t>Perfil de vendas</t>
  </si>
  <si>
    <t>Evolução de vendas - conta nível 01</t>
  </si>
  <si>
    <t>Total</t>
  </si>
  <si>
    <t>Atraso médio das contas</t>
  </si>
  <si>
    <t>A receber</t>
  </si>
  <si>
    <t>A pagar</t>
  </si>
  <si>
    <t>Resultado Aculmulado</t>
  </si>
  <si>
    <t>Despesa Mensal - Conta Nível 2</t>
  </si>
  <si>
    <t>Dashboard financeiro anual</t>
  </si>
  <si>
    <t>DASHBOARD ANUAL</t>
  </si>
  <si>
    <t>Minigráficos de contas a Pagar e a Receber</t>
  </si>
  <si>
    <t>Evolução das vendas</t>
  </si>
  <si>
    <t>Ano:</t>
  </si>
  <si>
    <t>ANO:</t>
  </si>
  <si>
    <t>Mês</t>
  </si>
  <si>
    <t>Gráfico</t>
  </si>
  <si>
    <t>Saldo do Caixa</t>
  </si>
  <si>
    <t>Saldo</t>
  </si>
  <si>
    <t>Contas a pagar total</t>
  </si>
  <si>
    <t>Contas a receber total</t>
  </si>
  <si>
    <t xml:space="preserve">Perfil das Vendas </t>
  </si>
  <si>
    <t>Ano</t>
  </si>
  <si>
    <t>À Vista</t>
  </si>
  <si>
    <t>A Prazo</t>
  </si>
  <si>
    <t>Atraso médio nas contas a receber</t>
  </si>
  <si>
    <t>Atraso médio nas contas a pagar</t>
  </si>
  <si>
    <t>Qtde.</t>
  </si>
  <si>
    <t>Dias</t>
  </si>
  <si>
    <t>Média</t>
  </si>
  <si>
    <t>Resultado no Período</t>
  </si>
  <si>
    <t>Despesa Mensal</t>
  </si>
  <si>
    <t>Resultado</t>
  </si>
  <si>
    <t>Pagar 
Mensal</t>
  </si>
  <si>
    <t>Receber 
Mensal</t>
  </si>
  <si>
    <t>J F M A M J J A S O N D</t>
  </si>
  <si>
    <t>Á vista</t>
  </si>
  <si>
    <t>Dias de 
atraso</t>
  </si>
  <si>
    <t>Hoje:</t>
  </si>
  <si>
    <t>Pagar Mensal</t>
  </si>
  <si>
    <t>Receber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</si>
</sst>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</numFmts>
  <fonts count="31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  <font>
      <b/>
      <sz val="13"/>
      <color theme="6" tint="-0.499984740745262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sz val="13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D966"/>
        <bgColor rgb="FF000000"/>
      </patternFill>
    </fill>
  </fills>
  <borders count="41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3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6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right" vertical="center"/>
    </xf>
    <xf numFmtId="0" fontId="3" fillId="0" borderId="0" xfId="0" applyFont="1"/>
    <xf numFmtId="0" fontId="0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4" fontId="0" fillId="5" borderId="0" xfId="0" applyNumberFormat="1" applyFill="1" applyAlignment="1">
      <alignment horizontal="left" vertical="top" wrapText="1"/>
    </xf>
    <xf numFmtId="14" fontId="0" fillId="5" borderId="0" xfId="0" applyNumberForma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5" xfId="0" applyNumberFormat="1" applyFont="1" applyFill="1" applyBorder="1" applyAlignment="1">
      <alignment horizontal="left" vertical="top" wrapText="1"/>
    </xf>
    <xf numFmtId="14" fontId="3" fillId="5" borderId="5" xfId="0" applyNumberFormat="1" applyFont="1" applyFill="1" applyBorder="1" applyAlignment="1">
      <alignment horizontal="left" vertical="top"/>
    </xf>
    <xf numFmtId="164" fontId="3" fillId="5" borderId="5" xfId="0" applyNumberFormat="1" applyFont="1" applyFill="1" applyBorder="1" applyAlignment="1">
      <alignment horizontal="left" vertical="top"/>
    </xf>
    <xf numFmtId="44" fontId="0" fillId="0" borderId="0" xfId="0" applyNumberFormat="1" applyAlignment="1">
      <alignment horizontal="left" vertical="center"/>
    </xf>
    <xf numFmtId="0" fontId="5" fillId="0" borderId="0" xfId="0" applyFont="1"/>
    <xf numFmtId="0" fontId="5" fillId="6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right" vertical="center"/>
    </xf>
    <xf numFmtId="0" fontId="5" fillId="7" borderId="16" xfId="0" applyFont="1" applyFill="1" applyBorder="1" applyAlignment="1">
      <alignment horizontal="right" vertical="center"/>
    </xf>
    <xf numFmtId="165" fontId="6" fillId="0" borderId="0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 applyAlignment="1">
      <alignment horizontal="right" vertical="center"/>
    </xf>
    <xf numFmtId="165" fontId="6" fillId="0" borderId="0" xfId="0" applyNumberFormat="1" applyFont="1" applyBorder="1" applyAlignment="1">
      <alignment horizontal="right" vertical="center"/>
    </xf>
    <xf numFmtId="165" fontId="6" fillId="0" borderId="10" xfId="0" applyNumberFormat="1" applyFont="1" applyBorder="1" applyAlignment="1">
      <alignment horizontal="right" vertic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13" xfId="0" applyNumberFormat="1" applyFont="1" applyBorder="1" applyAlignment="1">
      <alignment horizontal="righ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5" fontId="6" fillId="0" borderId="18" xfId="0" applyNumberFormat="1" applyFont="1" applyBorder="1" applyAlignment="1">
      <alignment horizontal="right" vertical="center"/>
    </xf>
    <xf numFmtId="165" fontId="6" fillId="0" borderId="19" xfId="0" applyNumberFormat="1" applyFont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/>
    </xf>
    <xf numFmtId="165" fontId="6" fillId="0" borderId="7" xfId="0" applyNumberFormat="1" applyFont="1" applyFill="1" applyBorder="1" applyAlignment="1">
      <alignment horizontal="right" vertical="center"/>
    </xf>
    <xf numFmtId="165" fontId="6" fillId="0" borderId="8" xfId="0" applyNumberFormat="1" applyFont="1" applyFill="1" applyBorder="1" applyAlignment="1">
      <alignment horizontal="right" vertical="center"/>
    </xf>
    <xf numFmtId="165" fontId="10" fillId="0" borderId="7" xfId="0" applyNumberFormat="1" applyFont="1" applyBorder="1" applyAlignment="1">
      <alignment horizontal="right" vertical="center"/>
    </xf>
    <xf numFmtId="165" fontId="10" fillId="0" borderId="12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165" fontId="10" fillId="0" borderId="13" xfId="0" applyNumberFormat="1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pivotButton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5" fillId="0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0" fontId="16" fillId="9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0" borderId="30" xfId="0" applyFont="1" applyFill="1" applyBorder="1" applyAlignment="1">
      <alignment horizontal="right" vertical="center"/>
    </xf>
    <xf numFmtId="0" fontId="15" fillId="0" borderId="30" xfId="0" applyFont="1" applyFill="1" applyBorder="1" applyAlignment="1">
      <alignment horizontal="right" vertical="center" wrapText="1"/>
    </xf>
    <xf numFmtId="0" fontId="15" fillId="10" borderId="30" xfId="0" applyFont="1" applyFill="1" applyBorder="1" applyAlignment="1">
      <alignment horizontal="left" vertical="center"/>
    </xf>
    <xf numFmtId="0" fontId="15" fillId="0" borderId="31" xfId="0" applyFont="1" applyFill="1" applyBorder="1" applyAlignment="1">
      <alignment vertical="center"/>
    </xf>
    <xf numFmtId="43" fontId="15" fillId="9" borderId="31" xfId="1" applyFont="1" applyFill="1" applyBorder="1" applyAlignment="1">
      <alignment horizontal="right" vertical="center"/>
    </xf>
    <xf numFmtId="0" fontId="15" fillId="0" borderId="31" xfId="0" applyFont="1" applyFill="1" applyBorder="1" applyAlignment="1">
      <alignment horizontal="right" vertical="center"/>
    </xf>
    <xf numFmtId="43" fontId="15" fillId="9" borderId="0" xfId="1" applyFont="1" applyFill="1" applyBorder="1" applyAlignment="1">
      <alignment horizontal="right" vertical="center"/>
    </xf>
    <xf numFmtId="43" fontId="15" fillId="9" borderId="31" xfId="1" applyFont="1" applyFill="1" applyBorder="1" applyAlignment="1">
      <alignment vertical="center"/>
    </xf>
    <xf numFmtId="43" fontId="15" fillId="9" borderId="0" xfId="1" applyFont="1" applyFill="1" applyBorder="1" applyAlignment="1">
      <alignment vertical="center"/>
    </xf>
    <xf numFmtId="0" fontId="15" fillId="0" borderId="32" xfId="0" applyFont="1" applyFill="1" applyBorder="1" applyAlignment="1">
      <alignment vertical="center"/>
    </xf>
    <xf numFmtId="43" fontId="17" fillId="9" borderId="32" xfId="1" applyFont="1" applyFill="1" applyBorder="1" applyAlignment="1">
      <alignment vertical="center"/>
    </xf>
    <xf numFmtId="43" fontId="15" fillId="9" borderId="32" xfId="1" applyFont="1" applyFill="1" applyBorder="1" applyAlignment="1">
      <alignment horizontal="right" vertical="center"/>
    </xf>
    <xf numFmtId="0" fontId="15" fillId="0" borderId="32" xfId="0" applyFont="1" applyFill="1" applyBorder="1" applyAlignment="1">
      <alignment horizontal="right" vertical="center"/>
    </xf>
    <xf numFmtId="14" fontId="15" fillId="0" borderId="0" xfId="0" applyNumberFormat="1" applyFont="1" applyFill="1" applyBorder="1" applyAlignment="1">
      <alignment vertical="center"/>
    </xf>
    <xf numFmtId="0" fontId="15" fillId="9" borderId="30" xfId="0" applyFont="1" applyFill="1" applyBorder="1" applyAlignment="1">
      <alignment vertical="center"/>
    </xf>
    <xf numFmtId="43" fontId="15" fillId="9" borderId="30" xfId="1" applyFont="1" applyFill="1" applyBorder="1" applyAlignment="1">
      <alignment horizontal="right" vertical="center"/>
    </xf>
    <xf numFmtId="3" fontId="15" fillId="9" borderId="30" xfId="0" applyNumberFormat="1" applyFont="1" applyFill="1" applyBorder="1" applyAlignment="1">
      <alignment vertical="center"/>
    </xf>
    <xf numFmtId="1" fontId="15" fillId="0" borderId="0" xfId="0" applyNumberFormat="1" applyFont="1" applyFill="1" applyBorder="1" applyAlignment="1">
      <alignment vertical="center"/>
    </xf>
    <xf numFmtId="14" fontId="15" fillId="0" borderId="31" xfId="0" applyNumberFormat="1" applyFont="1" applyFill="1" applyBorder="1" applyAlignment="1">
      <alignment horizontal="right" vertical="center"/>
    </xf>
    <xf numFmtId="0" fontId="15" fillId="10" borderId="30" xfId="0" applyFont="1" applyFill="1" applyBorder="1" applyAlignment="1">
      <alignment horizontal="right" vertical="center" wrapText="1"/>
    </xf>
    <xf numFmtId="166" fontId="15" fillId="9" borderId="33" xfId="0" applyNumberFormat="1" applyFont="1" applyFill="1" applyBorder="1" applyAlignment="1">
      <alignment horizontal="right" vertical="center"/>
    </xf>
    <xf numFmtId="6" fontId="18" fillId="9" borderId="33" xfId="0" applyNumberFormat="1" applyFont="1" applyFill="1" applyBorder="1" applyAlignment="1">
      <alignment horizontal="right" vertical="center"/>
    </xf>
    <xf numFmtId="166" fontId="15" fillId="9" borderId="30" xfId="0" applyNumberFormat="1" applyFont="1" applyFill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/>
    </xf>
    <xf numFmtId="44" fontId="14" fillId="0" borderId="0" xfId="0" applyNumberFormat="1" applyFont="1" applyBorder="1" applyAlignment="1">
      <alignment horizontal="center"/>
    </xf>
    <xf numFmtId="43" fontId="15" fillId="0" borderId="0" xfId="1" applyFont="1" applyFill="1" applyBorder="1" applyAlignment="1">
      <alignment vertical="center"/>
    </xf>
    <xf numFmtId="0" fontId="15" fillId="0" borderId="30" xfId="0" applyFont="1" applyFill="1" applyBorder="1" applyAlignment="1">
      <alignment horizontal="center" vertical="center" wrapText="1"/>
    </xf>
    <xf numFmtId="43" fontId="15" fillId="9" borderId="37" xfId="1" applyFont="1" applyFill="1" applyBorder="1" applyAlignment="1">
      <alignment horizontal="center" vertical="center"/>
    </xf>
    <xf numFmtId="43" fontId="15" fillId="9" borderId="39" xfId="1" applyFont="1" applyFill="1" applyBorder="1" applyAlignment="1">
      <alignment horizontal="center" vertical="center"/>
    </xf>
    <xf numFmtId="43" fontId="15" fillId="9" borderId="34" xfId="1" applyFont="1" applyFill="1" applyBorder="1" applyAlignment="1">
      <alignment vertical="center"/>
    </xf>
    <xf numFmtId="43" fontId="15" fillId="9" borderId="36" xfId="1" applyFont="1" applyFill="1" applyBorder="1" applyAlignment="1">
      <alignment vertical="center"/>
    </xf>
    <xf numFmtId="43" fontId="15" fillId="9" borderId="38" xfId="1" applyFont="1" applyFill="1" applyBorder="1" applyAlignment="1">
      <alignment vertical="center"/>
    </xf>
    <xf numFmtId="43" fontId="15" fillId="9" borderId="35" xfId="1" applyFont="1" applyFill="1" applyBorder="1" applyAlignment="1">
      <alignment horizontal="center"/>
    </xf>
    <xf numFmtId="44" fontId="22" fillId="0" borderId="25" xfId="0" applyNumberFormat="1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19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3" fontId="15" fillId="0" borderId="0" xfId="0" applyNumberFormat="1" applyFont="1" applyFill="1" applyBorder="1" applyAlignment="1">
      <alignment vertical="center"/>
    </xf>
    <xf numFmtId="3" fontId="15" fillId="9" borderId="30" xfId="0" applyNumberFormat="1" applyFont="1" applyFill="1" applyBorder="1" applyAlignment="1">
      <alignment horizontal="right" vertical="center"/>
    </xf>
    <xf numFmtId="0" fontId="23" fillId="0" borderId="25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15" fillId="9" borderId="33" xfId="0" applyNumberFormat="1" applyFont="1" applyFill="1" applyBorder="1" applyAlignment="1">
      <alignment horizontal="right" vertical="center"/>
    </xf>
    <xf numFmtId="0" fontId="0" fillId="0" borderId="40" xfId="0" applyBorder="1"/>
    <xf numFmtId="44" fontId="0" fillId="0" borderId="26" xfId="0" applyNumberFormat="1" applyBorder="1"/>
    <xf numFmtId="44" fontId="28" fillId="0" borderId="21" xfId="0" applyNumberFormat="1" applyFont="1" applyBorder="1" applyAlignment="1">
      <alignment horizontal="center"/>
    </xf>
    <xf numFmtId="44" fontId="28" fillId="0" borderId="21" xfId="0" applyNumberFormat="1" applyFont="1" applyBorder="1" applyAlignment="1">
      <alignment horizontal="left"/>
    </xf>
    <xf numFmtId="3" fontId="28" fillId="0" borderId="25" xfId="0" applyNumberFormat="1" applyFont="1" applyBorder="1" applyAlignment="1">
      <alignment horizontal="center"/>
    </xf>
    <xf numFmtId="3" fontId="29" fillId="0" borderId="26" xfId="0" applyNumberFormat="1" applyFont="1" applyBorder="1" applyAlignment="1">
      <alignment horizontal="center"/>
    </xf>
    <xf numFmtId="14" fontId="13" fillId="3" borderId="0" xfId="0" applyNumberFormat="1" applyFont="1" applyFill="1" applyAlignment="1">
      <alignment horizontal="center" vertical="center"/>
    </xf>
    <xf numFmtId="43" fontId="15" fillId="9" borderId="31" xfId="1" applyFont="1" applyFill="1" applyBorder="1" applyAlignment="1">
      <alignment horizontal="center"/>
    </xf>
    <xf numFmtId="43" fontId="15" fillId="9" borderId="32" xfId="1" applyFont="1" applyFill="1" applyBorder="1" applyAlignment="1">
      <alignment vertical="center"/>
    </xf>
    <xf numFmtId="43" fontId="15" fillId="9" borderId="0" xfId="1" applyFont="1" applyFill="1" applyBorder="1" applyAlignment="1">
      <alignment horizontal="center"/>
    </xf>
    <xf numFmtId="43" fontId="15" fillId="9" borderId="32" xfId="1" applyFont="1" applyFill="1" applyBorder="1" applyAlignment="1">
      <alignment horizontal="center"/>
    </xf>
    <xf numFmtId="0" fontId="1" fillId="2" borderId="0" xfId="0" applyFont="1" applyFill="1" applyProtection="1">
      <protection locked="0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  <xf numFmtId="0" fontId="7" fillId="0" borderId="12" xfId="0" applyFont="1" applyBorder="1"/>
    <xf numFmtId="0" fontId="9" fillId="0" borderId="12" xfId="0" applyFont="1" applyBorder="1"/>
    <xf numFmtId="0" fontId="8" fillId="0" borderId="12" xfId="0" applyFont="1" applyBorder="1"/>
    <xf numFmtId="14" fontId="11" fillId="3" borderId="0" xfId="0" applyNumberFormat="1" applyFont="1" applyFill="1"/>
    <xf numFmtId="6" fontId="27" fillId="0" borderId="25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6" fontId="26" fillId="0" borderId="25" xfId="0" applyNumberFormat="1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6" fillId="2" borderId="25" xfId="0" applyFont="1" applyFill="1" applyBorder="1" applyAlignment="1">
      <alignment horizontal="right"/>
    </xf>
    <xf numFmtId="0" fontId="6" fillId="2" borderId="26" xfId="0" applyFont="1" applyFill="1" applyBorder="1" applyAlignment="1">
      <alignment horizontal="right"/>
    </xf>
    <xf numFmtId="0" fontId="19" fillId="0" borderId="2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2" borderId="23" xfId="0" applyFont="1" applyFill="1" applyBorder="1" applyAlignment="1">
      <alignment horizontal="right"/>
    </xf>
    <xf numFmtId="0" fontId="19" fillId="2" borderId="24" xfId="0" applyFont="1" applyFill="1" applyBorder="1" applyAlignment="1">
      <alignment horizontal="right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44" fontId="22" fillId="0" borderId="0" xfId="0" applyNumberFormat="1" applyFont="1" applyBorder="1" applyAlignment="1"/>
    <xf numFmtId="44" fontId="14" fillId="0" borderId="26" xfId="0" applyNumberFormat="1" applyFont="1" applyBorder="1" applyAlignment="1"/>
    <xf numFmtId="0" fontId="30" fillId="0" borderId="22" xfId="0" applyFont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6" fillId="0" borderId="31" xfId="0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</cellXfs>
  <cellStyles count="2">
    <cellStyle name="Normal" xfId="0" builtinId="0"/>
    <cellStyle name="Vírgula" xfId="1" builtinId="3"/>
  </cellStyles>
  <dxfs count="66"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numFmt numFmtId="4" formatCode="#,##0.00"/>
    </dxf>
    <dxf>
      <alignment vertical="center" readingOrder="0"/>
    </dxf>
    <dxf>
      <alignment horizontal="center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lef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indent="0" justifyLastLine="0" shrinkToFit="0" readingOrder="0"/>
    </dxf>
    <dxf>
      <font>
        <b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2.xml"/><Relationship Id="rId39" Type="http://schemas.openxmlformats.org/officeDocument/2006/relationships/powerPivotData" Target="model/item.data"/><Relationship Id="rId21" Type="http://schemas.openxmlformats.org/officeDocument/2006/relationships/pivotCacheDefinition" Target="pivotCache/pivotCacheDefinition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1.xml"/><Relationship Id="rId33" Type="http://schemas.microsoft.com/office/2007/relationships/slicerCache" Target="slicerCaches/slicerCache9.xml"/><Relationship Id="rId38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07/relationships/slicerCache" Target="slicerCaches/slicerCach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microsoft.com/office/2007/relationships/slicerCache" Target="slicerCaches/slicerCache8.xml"/><Relationship Id="rId37" Type="http://schemas.openxmlformats.org/officeDocument/2006/relationships/sharedStrings" Target="sharedString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07/relationships/slicerCache" Target="slicerCaches/slicerCache4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7/relationships/slicerCache" Target="slicerCaches/slicerCache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microsoft.com/office/2007/relationships/slicerCache" Target="slicerCaches/slicerCache3.xml"/><Relationship Id="rId30" Type="http://schemas.microsoft.com/office/2007/relationships/slicerCache" Target="slicerCaches/slicerCache6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financeiro anualD'!$M$6:$M$17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'Dashboard financeiro anualD'!$L$6:$L$17</c:f>
              <c:numCache>
                <c:formatCode>_(* #,##0.00_);_(* \(#,##0.00\);_(* "-"??_);_(@_)</c:formatCode>
                <c:ptCount val="12"/>
                <c:pt idx="0">
                  <c:v>4993</c:v>
                </c:pt>
                <c:pt idx="1">
                  <c:v>4461</c:v>
                </c:pt>
                <c:pt idx="2">
                  <c:v>0</c:v>
                </c:pt>
                <c:pt idx="3">
                  <c:v>0</c:v>
                </c:pt>
                <c:pt idx="4">
                  <c:v>4535</c:v>
                </c:pt>
                <c:pt idx="5">
                  <c:v>2864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45184"/>
        <c:axId val="630346816"/>
      </c:lineChart>
      <c:catAx>
        <c:axId val="6303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346816"/>
        <c:crosses val="autoZero"/>
        <c:auto val="1"/>
        <c:lblAlgn val="ctr"/>
        <c:lblOffset val="100"/>
        <c:noMultiLvlLbl val="0"/>
      </c:catAx>
      <c:valAx>
        <c:axId val="630346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6303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033202991388678E-2"/>
          <c:y val="0.12791780419481771"/>
          <c:w val="0.62242282780907865"/>
          <c:h val="0.7359463641052088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financeiro anualD'!$D$22:$E$22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'Dashboard financeiro anualD'!$D$23:$E$23</c:f>
              <c:numCache>
                <c:formatCode>_(* #,##0.00_);_(* \(#,##0.00\);_(* "-"??_);_(@_)</c:formatCode>
                <c:ptCount val="2"/>
                <c:pt idx="0">
                  <c:v>39573</c:v>
                </c:pt>
                <c:pt idx="1">
                  <c:v>91086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B8B2CFA-D5C8-4E73-BFCE-84B58B1FB23C}" type="VALUE">
                      <a:rPr lang="en-US" sz="1000" b="1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08784782703804"/>
                      <c:h val="0.2913167813583128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4CE318-CDC3-4593-A02C-20241ADC0984}" type="VALUE">
                      <a:rPr lang="en-US" sz="1000" b="1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[VALOR]</a:t>
                    </a:fld>
                    <a:endParaRPr lang="pt-BR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82928042947206"/>
                      <c:h val="0.29131678135831285"/>
                    </c:manualLayout>
                  </c15:layout>
                  <c15:dlblFieldTable/>
                  <c15:showDataLabelsRange val="0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financeiro anualD'!$D$32:$E$32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'Dashboard financeiro anualD'!$D$33:$E$33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10"/>
        <c:axId val="630341920"/>
        <c:axId val="630343008"/>
      </c:barChart>
      <c:catAx>
        <c:axId val="6303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343008"/>
        <c:crosses val="autoZero"/>
        <c:auto val="1"/>
        <c:lblAlgn val="ctr"/>
        <c:lblOffset val="100"/>
        <c:noMultiLvlLbl val="0"/>
      </c:catAx>
      <c:valAx>
        <c:axId val="63034300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6303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'Dashboard financeiro anualD'!$I$33:$I$44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0"/>
        <c:axId val="630345728"/>
        <c:axId val="630338656"/>
      </c:barChart>
      <c:catAx>
        <c:axId val="63034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338656"/>
        <c:crosses val="autoZero"/>
        <c:auto val="1"/>
        <c:lblAlgn val="ctr"/>
        <c:lblOffset val="100"/>
        <c:noMultiLvlLbl val="0"/>
      </c:catAx>
      <c:valAx>
        <c:axId val="63033865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63034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'Dashboard financeiro atualD'!$K$6:$K$17</c:f>
              <c:numCache>
                <c:formatCode>_(* #,##0.00_);_(* \(#,##0.00\);_(* "-"??_);_(@_)</c:formatCode>
                <c:ptCount val="12"/>
                <c:pt idx="0">
                  <c:v>6759</c:v>
                </c:pt>
                <c:pt idx="1">
                  <c:v>8187</c:v>
                </c:pt>
                <c:pt idx="2">
                  <c:v>5918</c:v>
                </c:pt>
                <c:pt idx="3">
                  <c:v>1620</c:v>
                </c:pt>
                <c:pt idx="4">
                  <c:v>2194</c:v>
                </c:pt>
                <c:pt idx="5">
                  <c:v>1482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51712"/>
        <c:axId val="630339200"/>
      </c:lineChart>
      <c:catAx>
        <c:axId val="6303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339200"/>
        <c:crosses val="autoZero"/>
        <c:auto val="1"/>
        <c:lblAlgn val="ctr"/>
        <c:lblOffset val="100"/>
        <c:noMultiLvlLbl val="0"/>
      </c:catAx>
      <c:valAx>
        <c:axId val="630339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6303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033202991388678E-2"/>
          <c:y val="0.12791780419481771"/>
          <c:w val="0.62242282780907865"/>
          <c:h val="0.73594636410520886"/>
        </c:manualLayout>
      </c:layout>
      <c:doughnutChart>
        <c:varyColors val="1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financeiro atualD'!$D$22:$E$22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'Dashboard financeiro atualD'!$D$23:$E$23</c:f>
              <c:numCache>
                <c:formatCode>_(* #,##0.00_);_(* \(#,##0.00\);_(* "-"??_);_(@_)</c:formatCode>
                <c:ptCount val="2"/>
                <c:pt idx="0">
                  <c:v>39573</c:v>
                </c:pt>
                <c:pt idx="1">
                  <c:v>91086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499050457943699"/>
                      <c:h val="0.31978345923233303"/>
                    </c:manualLayout>
                  </c15:layout>
                </c:ext>
              </c:extLst>
            </c:dLbl>
            <c:dLbl>
              <c:idx val="1"/>
              <c:layout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941416860982231"/>
                      <c:h val="0.3197834592323330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financeiro atualD'!$D$32:$E$32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'Dashboard financeiro atualD'!$D$33:$E$33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10"/>
        <c:axId val="630340832"/>
        <c:axId val="420057184"/>
      </c:barChart>
      <c:catAx>
        <c:axId val="6303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057184"/>
        <c:crosses val="autoZero"/>
        <c:auto val="1"/>
        <c:lblAlgn val="ctr"/>
        <c:lblOffset val="100"/>
        <c:noMultiLvlLbl val="0"/>
      </c:catAx>
      <c:valAx>
        <c:axId val="42005718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6303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'Dashboard financeiro atualD'!$I$34:$I$45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0"/>
        <c:axId val="420053376"/>
        <c:axId val="420050112"/>
      </c:barChart>
      <c:catAx>
        <c:axId val="42005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050112"/>
        <c:crosses val="autoZero"/>
        <c:auto val="1"/>
        <c:lblAlgn val="ctr"/>
        <c:lblOffset val="100"/>
        <c:noMultiLvlLbl val="0"/>
      </c:catAx>
      <c:valAx>
        <c:axId val="42005011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200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DaDespesa!A1"/><Relationship Id="rId13" Type="http://schemas.openxmlformats.org/officeDocument/2006/relationships/hyperlink" Target="#'Dashboard financeiro anual'!A1"/><Relationship Id="rId3" Type="http://schemas.openxmlformats.org/officeDocument/2006/relationships/hyperlink" Target="#PCSa&#237;dasN2!A1"/><Relationship Id="rId7" Type="http://schemas.openxmlformats.org/officeDocument/2006/relationships/hyperlink" Target="#DetalhamentoDaReceita!A1"/><Relationship Id="rId12" Type="http://schemas.openxmlformats.org/officeDocument/2006/relationships/hyperlink" Target="#'Dashboard financeiro atual'!A1"/><Relationship Id="rId2" Type="http://schemas.openxmlformats.org/officeDocument/2006/relationships/hyperlink" Target="#PCSa&#237;dasN1!A1"/><Relationship Id="rId1" Type="http://schemas.openxmlformats.org/officeDocument/2006/relationships/hyperlink" Target="#PCEntradasN1!A1"/><Relationship Id="rId6" Type="http://schemas.openxmlformats.org/officeDocument/2006/relationships/hyperlink" Target="#FluxoDeCaixaConsolidado!A1"/><Relationship Id="rId11" Type="http://schemas.openxmlformats.org/officeDocument/2006/relationships/hyperlink" Target="#ContasVencidasAReceber!A1"/><Relationship Id="rId5" Type="http://schemas.openxmlformats.org/officeDocument/2006/relationships/hyperlink" Target="#RegistroSaidas!A1"/><Relationship Id="rId15" Type="http://schemas.openxmlformats.org/officeDocument/2006/relationships/image" Target="../media/image1.png"/><Relationship Id="rId10" Type="http://schemas.openxmlformats.org/officeDocument/2006/relationships/hyperlink" Target="#ContasAReceber!A1"/><Relationship Id="rId4" Type="http://schemas.openxmlformats.org/officeDocument/2006/relationships/hyperlink" Target="#RegistroEntradas!A1"/><Relationship Id="rId9" Type="http://schemas.openxmlformats.org/officeDocument/2006/relationships/hyperlink" Target="#ContasAPagar!A1"/><Relationship Id="rId14" Type="http://schemas.openxmlformats.org/officeDocument/2006/relationships/hyperlink" Target="#PCEntradasN2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35242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366712</xdr:colOff>
      <xdr:row>3</xdr:row>
      <xdr:rowOff>19049</xdr:rowOff>
    </xdr:from>
    <xdr:to>
      <xdr:col>9</xdr:col>
      <xdr:colOff>543562</xdr:colOff>
      <xdr:row>4</xdr:row>
      <xdr:rowOff>131399</xdr:rowOff>
    </xdr:to>
    <xdr:sp macro="" textlink="">
      <xdr:nvSpPr>
        <xdr:cNvPr id="4" name="Retângulo 3"/>
        <xdr:cNvSpPr/>
      </xdr:nvSpPr>
      <xdr:spPr>
        <a:xfrm>
          <a:off x="6481762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Relatórios</a:t>
          </a:r>
        </a:p>
      </xdr:txBody>
    </xdr:sp>
    <xdr:clientData/>
  </xdr:twoCellAnchor>
  <xdr:twoCellAnchor>
    <xdr:from>
      <xdr:col>9</xdr:col>
      <xdr:colOff>733424</xdr:colOff>
      <xdr:row>3</xdr:row>
      <xdr:rowOff>19049</xdr:rowOff>
    </xdr:from>
    <xdr:to>
      <xdr:col>13</xdr:col>
      <xdr:colOff>237224</xdr:colOff>
      <xdr:row>4</xdr:row>
      <xdr:rowOff>131399</xdr:rowOff>
    </xdr:to>
    <xdr:sp macro="" textlink="">
      <xdr:nvSpPr>
        <xdr:cNvPr id="5" name="Retângulo 4"/>
        <xdr:cNvSpPr/>
      </xdr:nvSpPr>
      <xdr:spPr>
        <a:xfrm>
          <a:off x="9191624" y="1276349"/>
          <a:ext cx="2628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57149</xdr:rowOff>
    </xdr:from>
    <xdr:to>
      <xdr:col>6</xdr:col>
      <xdr:colOff>176850</xdr:colOff>
      <xdr:row>6</xdr:row>
      <xdr:rowOff>169499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771900" y="18097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/>
            <a:t>Plano de contas de entrada - Nível 1</a:t>
          </a:r>
        </a:p>
      </xdr:txBody>
    </xdr:sp>
    <xdr:clientData/>
  </xdr:twoCellAnchor>
  <xdr:twoCellAnchor>
    <xdr:from>
      <xdr:col>3</xdr:col>
      <xdr:colOff>0</xdr:colOff>
      <xdr:row>9</xdr:row>
      <xdr:rowOff>95249</xdr:rowOff>
    </xdr:from>
    <xdr:to>
      <xdr:col>6</xdr:col>
      <xdr:colOff>176850</xdr:colOff>
      <xdr:row>10</xdr:row>
      <xdr:rowOff>207599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771900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1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11</xdr:row>
      <xdr:rowOff>104774</xdr:rowOff>
    </xdr:from>
    <xdr:to>
      <xdr:col>6</xdr:col>
      <xdr:colOff>176850</xdr:colOff>
      <xdr:row>12</xdr:row>
      <xdr:rowOff>217124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771900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2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13</xdr:row>
      <xdr:rowOff>114299</xdr:rowOff>
    </xdr:from>
    <xdr:to>
      <xdr:col>6</xdr:col>
      <xdr:colOff>176850</xdr:colOff>
      <xdr:row>14</xdr:row>
      <xdr:rowOff>226649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3771900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 das entradas de caixa</a:t>
          </a:r>
        </a:p>
      </xdr:txBody>
    </xdr:sp>
    <xdr:clientData/>
  </xdr:twoCellAnchor>
  <xdr:twoCellAnchor>
    <xdr:from>
      <xdr:col>3</xdr:col>
      <xdr:colOff>0</xdr:colOff>
      <xdr:row>15</xdr:row>
      <xdr:rowOff>123824</xdr:rowOff>
    </xdr:from>
    <xdr:to>
      <xdr:col>6</xdr:col>
      <xdr:colOff>176850</xdr:colOff>
      <xdr:row>16</xdr:row>
      <xdr:rowOff>236174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3771900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</a:t>
          </a:r>
          <a:r>
            <a:rPr lang="pt-BR" sz="1300" baseline="0"/>
            <a:t> de saída de caixa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5</xdr:row>
      <xdr:rowOff>76199</xdr:rowOff>
    </xdr:from>
    <xdr:to>
      <xdr:col>9</xdr:col>
      <xdr:colOff>543562</xdr:colOff>
      <xdr:row>6</xdr:row>
      <xdr:rowOff>188549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6481762" y="18287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Fluxo de caixa</a:t>
          </a:r>
          <a:r>
            <a:rPr lang="pt-BR" sz="1300" baseline="0"/>
            <a:t> e resultado mensal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7</xdr:row>
      <xdr:rowOff>85724</xdr:rowOff>
    </xdr:from>
    <xdr:to>
      <xdr:col>9</xdr:col>
      <xdr:colOff>543562</xdr:colOff>
      <xdr:row>8</xdr:row>
      <xdr:rowOff>198074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6481762" y="23336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 da receita</a:t>
          </a:r>
        </a:p>
      </xdr:txBody>
    </xdr:sp>
    <xdr:clientData/>
  </xdr:twoCellAnchor>
  <xdr:twoCellAnchor>
    <xdr:from>
      <xdr:col>6</xdr:col>
      <xdr:colOff>366712</xdr:colOff>
      <xdr:row>9</xdr:row>
      <xdr:rowOff>95249</xdr:rowOff>
    </xdr:from>
    <xdr:to>
      <xdr:col>9</xdr:col>
      <xdr:colOff>543562</xdr:colOff>
      <xdr:row>10</xdr:row>
      <xdr:rowOff>207599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6481762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</a:t>
          </a:r>
          <a:r>
            <a:rPr lang="pt-BR" sz="1300" baseline="0"/>
            <a:t> da despesa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11</xdr:row>
      <xdr:rowOff>104774</xdr:rowOff>
    </xdr:from>
    <xdr:to>
      <xdr:col>9</xdr:col>
      <xdr:colOff>543562</xdr:colOff>
      <xdr:row>12</xdr:row>
      <xdr:rowOff>217124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6481762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pagar</a:t>
          </a:r>
        </a:p>
      </xdr:txBody>
    </xdr:sp>
    <xdr:clientData/>
  </xdr:twoCellAnchor>
  <xdr:twoCellAnchor>
    <xdr:from>
      <xdr:col>6</xdr:col>
      <xdr:colOff>366712</xdr:colOff>
      <xdr:row>13</xdr:row>
      <xdr:rowOff>114299</xdr:rowOff>
    </xdr:from>
    <xdr:to>
      <xdr:col>9</xdr:col>
      <xdr:colOff>543562</xdr:colOff>
      <xdr:row>14</xdr:row>
      <xdr:rowOff>226649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6481762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receber</a:t>
          </a:r>
        </a:p>
      </xdr:txBody>
    </xdr:sp>
    <xdr:clientData/>
  </xdr:twoCellAnchor>
  <xdr:twoCellAnchor>
    <xdr:from>
      <xdr:col>6</xdr:col>
      <xdr:colOff>366712</xdr:colOff>
      <xdr:row>15</xdr:row>
      <xdr:rowOff>123824</xdr:rowOff>
    </xdr:from>
    <xdr:to>
      <xdr:col>9</xdr:col>
      <xdr:colOff>543562</xdr:colOff>
      <xdr:row>16</xdr:row>
      <xdr:rowOff>236174</xdr:rowOff>
    </xdr:to>
    <xdr:sp macro="" textlink="">
      <xdr:nvSpPr>
        <xdr:cNvPr id="17" name="Retângulo 16">
          <a:hlinkClick xmlns:r="http://schemas.openxmlformats.org/officeDocument/2006/relationships" r:id="rId11"/>
        </xdr:cNvPr>
        <xdr:cNvSpPr/>
      </xdr:nvSpPr>
      <xdr:spPr>
        <a:xfrm>
          <a:off x="6481762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vencidas</a:t>
          </a:r>
          <a:r>
            <a:rPr lang="pt-BR" sz="1300" baseline="0"/>
            <a:t> a receber</a:t>
          </a:r>
          <a:endParaRPr lang="pt-BR" sz="1300"/>
        </a:p>
      </xdr:txBody>
    </xdr:sp>
    <xdr:clientData/>
  </xdr:twoCellAnchor>
  <xdr:twoCellAnchor>
    <xdr:from>
      <xdr:col>9</xdr:col>
      <xdr:colOff>733424</xdr:colOff>
      <xdr:row>5</xdr:row>
      <xdr:rowOff>76199</xdr:rowOff>
    </xdr:from>
    <xdr:to>
      <xdr:col>13</xdr:col>
      <xdr:colOff>237224</xdr:colOff>
      <xdr:row>6</xdr:row>
      <xdr:rowOff>188549</xdr:rowOff>
    </xdr:to>
    <xdr:sp macro="" textlink="">
      <xdr:nvSpPr>
        <xdr:cNvPr id="18" name="Retângulo 17">
          <a:hlinkClick xmlns:r="http://schemas.openxmlformats.org/officeDocument/2006/relationships" r:id="rId12"/>
        </xdr:cNvPr>
        <xdr:cNvSpPr/>
      </xdr:nvSpPr>
      <xdr:spPr>
        <a:xfrm>
          <a:off x="9191624" y="1828799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 - Posição atual</a:t>
          </a:r>
        </a:p>
      </xdr:txBody>
    </xdr:sp>
    <xdr:clientData/>
  </xdr:twoCellAnchor>
  <xdr:twoCellAnchor>
    <xdr:from>
      <xdr:col>9</xdr:col>
      <xdr:colOff>733424</xdr:colOff>
      <xdr:row>7</xdr:row>
      <xdr:rowOff>85724</xdr:rowOff>
    </xdr:from>
    <xdr:to>
      <xdr:col>13</xdr:col>
      <xdr:colOff>237224</xdr:colOff>
      <xdr:row>8</xdr:row>
      <xdr:rowOff>198074</xdr:rowOff>
    </xdr:to>
    <xdr:sp macro="" textlink="">
      <xdr:nvSpPr>
        <xdr:cNvPr id="19" name="Retângulo 18">
          <a:hlinkClick xmlns:r="http://schemas.openxmlformats.org/officeDocument/2006/relationships" r:id="rId13"/>
        </xdr:cNvPr>
        <xdr:cNvSpPr/>
      </xdr:nvSpPr>
      <xdr:spPr>
        <a:xfrm>
          <a:off x="9191624" y="2333624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</a:t>
          </a:r>
          <a:r>
            <a:rPr lang="pt-BR" sz="1200" baseline="0"/>
            <a:t> - Posição anual</a:t>
          </a:r>
          <a:endParaRPr lang="pt-BR" sz="1200"/>
        </a:p>
      </xdr:txBody>
    </xdr:sp>
    <xdr:clientData/>
  </xdr:twoCellAnchor>
  <xdr:twoCellAnchor>
    <xdr:from>
      <xdr:col>3</xdr:col>
      <xdr:colOff>0</xdr:colOff>
      <xdr:row>3</xdr:row>
      <xdr:rowOff>19049</xdr:rowOff>
    </xdr:from>
    <xdr:to>
      <xdr:col>6</xdr:col>
      <xdr:colOff>176850</xdr:colOff>
      <xdr:row>4</xdr:row>
      <xdr:rowOff>131399</xdr:rowOff>
    </xdr:to>
    <xdr:sp macro="" textlink="">
      <xdr:nvSpPr>
        <xdr:cNvPr id="26" name="Retângulo 25"/>
        <xdr:cNvSpPr/>
      </xdr:nvSpPr>
      <xdr:spPr>
        <a:xfrm>
          <a:off x="3771900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Cadastros</a:t>
          </a:r>
        </a:p>
      </xdr:txBody>
    </xdr:sp>
    <xdr:clientData/>
  </xdr:twoCellAnchor>
  <xdr:twoCellAnchor>
    <xdr:from>
      <xdr:col>3</xdr:col>
      <xdr:colOff>0</xdr:colOff>
      <xdr:row>7</xdr:row>
      <xdr:rowOff>66674</xdr:rowOff>
    </xdr:from>
    <xdr:to>
      <xdr:col>6</xdr:col>
      <xdr:colOff>176850</xdr:colOff>
      <xdr:row>8</xdr:row>
      <xdr:rowOff>179024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3771900" y="23145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Plano de contas de entrada - Nível 2</a:t>
          </a:r>
        </a:p>
      </xdr:txBody>
    </xdr:sp>
    <xdr:clientData/>
  </xdr:twoCellAnchor>
  <xdr:twoCellAnchor editAs="oneCell">
    <xdr:from>
      <xdr:col>0</xdr:col>
      <xdr:colOff>228601</xdr:colOff>
      <xdr:row>9</xdr:row>
      <xdr:rowOff>76200</xdr:rowOff>
    </xdr:from>
    <xdr:to>
      <xdr:col>2</xdr:col>
      <xdr:colOff>219076</xdr:colOff>
      <xdr:row>17</xdr:row>
      <xdr:rowOff>99025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571750"/>
          <a:ext cx="2933700" cy="2004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1914524</xdr:colOff>
      <xdr:row>1</xdr:row>
      <xdr:rowOff>523876</xdr:rowOff>
    </xdr:from>
    <xdr:to>
      <xdr:col>7</xdr:col>
      <xdr:colOff>312074</xdr:colOff>
      <xdr:row>1</xdr:row>
      <xdr:rowOff>1315876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&#10;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&#10;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8824" y="1095376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</xdr:colOff>
      <xdr:row>1</xdr:row>
      <xdr:rowOff>523876</xdr:rowOff>
    </xdr:from>
    <xdr:to>
      <xdr:col>1</xdr:col>
      <xdr:colOff>1866900</xdr:colOff>
      <xdr:row>1</xdr:row>
      <xdr:rowOff>1315876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&#10;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&#10;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095376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38100</xdr:colOff>
      <xdr:row>1</xdr:row>
      <xdr:rowOff>533400</xdr:rowOff>
    </xdr:from>
    <xdr:to>
      <xdr:col>1</xdr:col>
      <xdr:colOff>1866900</xdr:colOff>
      <xdr:row>1</xdr:row>
      <xdr:rowOff>1333499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104900"/>
              <a:ext cx="1828800" cy="800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1924049</xdr:colOff>
      <xdr:row>1</xdr:row>
      <xdr:rowOff>533400</xdr:rowOff>
    </xdr:from>
    <xdr:to>
      <xdr:col>7</xdr:col>
      <xdr:colOff>321599</xdr:colOff>
      <xdr:row>1</xdr:row>
      <xdr:rowOff>1325400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 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49" y="1104900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1933574</xdr:colOff>
      <xdr:row>1</xdr:row>
      <xdr:rowOff>542925</xdr:rowOff>
    </xdr:from>
    <xdr:to>
      <xdr:col>7</xdr:col>
      <xdr:colOff>264449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4" y="1114425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1</xdr:row>
      <xdr:rowOff>542925</xdr:rowOff>
    </xdr:from>
    <xdr:to>
      <xdr:col>1</xdr:col>
      <xdr:colOff>1876425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1933573</xdr:colOff>
      <xdr:row>1</xdr:row>
      <xdr:rowOff>542925</xdr:rowOff>
    </xdr:from>
    <xdr:to>
      <xdr:col>7</xdr:col>
      <xdr:colOff>264448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3" y="1114425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1</xdr:row>
      <xdr:rowOff>542925</xdr:rowOff>
    </xdr:from>
    <xdr:to>
      <xdr:col>1</xdr:col>
      <xdr:colOff>1876425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95250</xdr:colOff>
      <xdr:row>1</xdr:row>
      <xdr:rowOff>542925</xdr:rowOff>
    </xdr:from>
    <xdr:to>
      <xdr:col>1</xdr:col>
      <xdr:colOff>1924050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&#10;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&#10;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5</xdr:col>
      <xdr:colOff>219076</xdr:colOff>
      <xdr:row>4</xdr:row>
      <xdr:rowOff>152401</xdr:rowOff>
    </xdr:from>
    <xdr:to>
      <xdr:col>10</xdr:col>
      <xdr:colOff>85726</xdr:colOff>
      <xdr:row>10</xdr:row>
      <xdr:rowOff>323850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631760</xdr:colOff>
      <xdr:row>12</xdr:row>
      <xdr:rowOff>136070</xdr:rowOff>
    </xdr:from>
    <xdr:to>
      <xdr:col>3</xdr:col>
      <xdr:colOff>2459005</xdr:colOff>
      <xdr:row>17</xdr:row>
      <xdr:rowOff>184667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48597</xdr:colOff>
      <xdr:row>15</xdr:row>
      <xdr:rowOff>48598</xdr:rowOff>
    </xdr:from>
    <xdr:to>
      <xdr:col>9</xdr:col>
      <xdr:colOff>1039975</xdr:colOff>
      <xdr:row>17</xdr:row>
      <xdr:rowOff>515128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116633</xdr:colOff>
      <xdr:row>15</xdr:row>
      <xdr:rowOff>155511</xdr:rowOff>
    </xdr:from>
    <xdr:to>
      <xdr:col>12</xdr:col>
      <xdr:colOff>1137169</xdr:colOff>
      <xdr:row>17</xdr:row>
      <xdr:rowOff>495689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190498" y="28575"/>
          <a:ext cx="2638426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238125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5</xdr:col>
      <xdr:colOff>219076</xdr:colOff>
      <xdr:row>4</xdr:row>
      <xdr:rowOff>152401</xdr:rowOff>
    </xdr:from>
    <xdr:to>
      <xdr:col>10</xdr:col>
      <xdr:colOff>85726</xdr:colOff>
      <xdr:row>10</xdr:row>
      <xdr:rowOff>323850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631760</xdr:colOff>
      <xdr:row>12</xdr:row>
      <xdr:rowOff>136070</xdr:rowOff>
    </xdr:from>
    <xdr:to>
      <xdr:col>3</xdr:col>
      <xdr:colOff>2459005</xdr:colOff>
      <xdr:row>17</xdr:row>
      <xdr:rowOff>184667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48597</xdr:colOff>
      <xdr:row>15</xdr:row>
      <xdr:rowOff>48598</xdr:rowOff>
    </xdr:from>
    <xdr:to>
      <xdr:col>9</xdr:col>
      <xdr:colOff>1039975</xdr:colOff>
      <xdr:row>17</xdr:row>
      <xdr:rowOff>515128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116633</xdr:colOff>
      <xdr:row>15</xdr:row>
      <xdr:rowOff>155511</xdr:rowOff>
    </xdr:from>
    <xdr:to>
      <xdr:col>12</xdr:col>
      <xdr:colOff>1137169</xdr:colOff>
      <xdr:row>17</xdr:row>
      <xdr:rowOff>495689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342900" y="647700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1</xdr:col>
      <xdr:colOff>1438275</xdr:colOff>
      <xdr:row>14</xdr:row>
      <xdr:rowOff>142875</xdr:rowOff>
    </xdr:from>
    <xdr:to>
      <xdr:col>2</xdr:col>
      <xdr:colOff>695325</xdr:colOff>
      <xdr:row>14</xdr:row>
      <xdr:rowOff>152400</xdr:rowOff>
    </xdr:to>
    <xdr:cxnSp macro="">
      <xdr:nvCxnSpPr>
        <xdr:cNvPr id="22" name="Conector reto 21"/>
        <xdr:cNvCxnSpPr/>
      </xdr:nvCxnSpPr>
      <xdr:spPr>
        <a:xfrm>
          <a:off x="1657350" y="4191000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15</xdr:row>
      <xdr:rowOff>0</xdr:rowOff>
    </xdr:from>
    <xdr:to>
      <xdr:col>3</xdr:col>
      <xdr:colOff>0</xdr:colOff>
      <xdr:row>15</xdr:row>
      <xdr:rowOff>180975</xdr:rowOff>
    </xdr:to>
    <xdr:cxnSp macro="">
      <xdr:nvCxnSpPr>
        <xdr:cNvPr id="25" name="Conector reto 24"/>
        <xdr:cNvCxnSpPr/>
      </xdr:nvCxnSpPr>
      <xdr:spPr>
        <a:xfrm>
          <a:off x="1695450" y="4295775"/>
          <a:ext cx="20193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15</xdr:row>
      <xdr:rowOff>57150</xdr:rowOff>
    </xdr:from>
    <xdr:to>
      <xdr:col>3</xdr:col>
      <xdr:colOff>9525</xdr:colOff>
      <xdr:row>16</xdr:row>
      <xdr:rowOff>180975</xdr:rowOff>
    </xdr:to>
    <xdr:cxnSp macro="">
      <xdr:nvCxnSpPr>
        <xdr:cNvPr id="27" name="Conector reto 26"/>
        <xdr:cNvCxnSpPr/>
      </xdr:nvCxnSpPr>
      <xdr:spPr>
        <a:xfrm>
          <a:off x="1628775" y="4352925"/>
          <a:ext cx="20955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14</xdr:row>
      <xdr:rowOff>238125</xdr:rowOff>
    </xdr:from>
    <xdr:to>
      <xdr:col>3</xdr:col>
      <xdr:colOff>9525</xdr:colOff>
      <xdr:row>17</xdr:row>
      <xdr:rowOff>114300</xdr:rowOff>
    </xdr:to>
    <xdr:cxnSp macro="">
      <xdr:nvCxnSpPr>
        <xdr:cNvPr id="29" name="Conector reto 28"/>
        <xdr:cNvCxnSpPr/>
      </xdr:nvCxnSpPr>
      <xdr:spPr>
        <a:xfrm>
          <a:off x="1590675" y="4286250"/>
          <a:ext cx="2133600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14</xdr:row>
      <xdr:rowOff>238125</xdr:rowOff>
    </xdr:from>
    <xdr:to>
      <xdr:col>3</xdr:col>
      <xdr:colOff>28575</xdr:colOff>
      <xdr:row>18</xdr:row>
      <xdr:rowOff>66675</xdr:rowOff>
    </xdr:to>
    <xdr:cxnSp macro="">
      <xdr:nvCxnSpPr>
        <xdr:cNvPr id="31" name="Conector reto 30"/>
        <xdr:cNvCxnSpPr/>
      </xdr:nvCxnSpPr>
      <xdr:spPr>
        <a:xfrm>
          <a:off x="1657350" y="4286250"/>
          <a:ext cx="20859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142875</xdr:rowOff>
    </xdr:from>
    <xdr:to>
      <xdr:col>8</xdr:col>
      <xdr:colOff>771525</xdr:colOff>
      <xdr:row>11</xdr:row>
      <xdr:rowOff>161925</xdr:rowOff>
    </xdr:to>
    <xdr:cxnSp macro="">
      <xdr:nvCxnSpPr>
        <xdr:cNvPr id="33" name="Conector reto 32"/>
        <xdr:cNvCxnSpPr/>
      </xdr:nvCxnSpPr>
      <xdr:spPr>
        <a:xfrm flipV="1">
          <a:off x="7629525" y="3448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200025</xdr:rowOff>
    </xdr:from>
    <xdr:to>
      <xdr:col>9</xdr:col>
      <xdr:colOff>19050</xdr:colOff>
      <xdr:row>12</xdr:row>
      <xdr:rowOff>180975</xdr:rowOff>
    </xdr:to>
    <xdr:cxnSp macro="">
      <xdr:nvCxnSpPr>
        <xdr:cNvPr id="35" name="Conector reto 34"/>
        <xdr:cNvCxnSpPr/>
      </xdr:nvCxnSpPr>
      <xdr:spPr>
        <a:xfrm>
          <a:off x="7553325" y="3505200"/>
          <a:ext cx="8667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3</xdr:col>
      <xdr:colOff>295275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1336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FluxodeCaixa.xlsx" TargetMode="External"/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FluxodeCaix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5386.66633472222" backgroundQuery="1" createdVersion="5" refreshedVersion="5" minRefreshableVersion="3" recordCount="0" supportSubquery="1" supportAdvancedDrill="1">
  <cacheSource type="external" connectionId="1"/>
  <cacheFields count="5">
    <cacheField name="[TbRegistrosSaida].[Ano  Competência].[Ano  Competência]" caption="Ano  Competência" numFmtId="0" hierarchy="10" level="1">
      <sharedItems containsSemiMixedTypes="0" containsNonDate="0" containsString="0"/>
    </cacheField>
    <cacheField name="[TbRegistrosSaida].[Conta Nível 1].[Conta Nível 1]" caption="Conta Nível 1" numFmtId="0" hierarchy="3" level="1">
      <sharedItems count="1">
        <s v="Compra de mercadorias"/>
      </sharedItems>
    </cacheField>
    <cacheField name="[TbRegistrosSaida].[Conta Nível 2].[Conta Nível 2]" caption="Conta Nível 2" numFmtId="0" hierarchy="4" level="1">
      <sharedItems count="5">
        <s v="Eletrodomésticos"/>
        <s v="Informática"/>
        <s v="Livros"/>
        <s v="Som e imagem"/>
        <s v="Vestuário"/>
      </sharedItems>
    </cacheField>
    <cacheField name="[TbRegistrosSaida].[Mês  Competência].[Mês  Competência]" caption="Mês  Competência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bRegistrosSaida].[Mês  Competência].&amp;[1]"/>
            <x15:cachedUniqueName index="1" name="[TbRegistrosSaida].[Mês  Competência].&amp;[2]"/>
            <x15:cachedUniqueName index="2" name="[TbRegistrosSaida].[Mês  Competência].&amp;[3]"/>
            <x15:cachedUniqueName index="3" name="[TbRegistrosSaida].[Mês  Competência].&amp;[4]"/>
            <x15:cachedUniqueName index="4" name="[TbRegistrosSaida].[Mês  Competência].&amp;[5]"/>
            <x15:cachedUniqueName index="5" name="[TbRegistrosSaida].[Mês  Competência].&amp;[6]"/>
            <x15:cachedUniqueName index="6" name="[TbRegistrosSaida].[Mês  Competência].&amp;[7]"/>
            <x15:cachedUniqueName index="7" name="[TbRegistrosSaida].[Mês  Competência].&amp;[8]"/>
            <x15:cachedUniqueName index="8" name="[TbRegistrosSaida].[Mês  Competência].&amp;[9]"/>
            <x15:cachedUniqueName index="9" name="[TbRegistrosSaida].[Mês  Competência].&amp;[10]"/>
            <x15:cachedUniqueName index="10" name="[TbRegistrosSaida].[Mês  Competência].&amp;[11]"/>
            <x15:cachedUniqueName index="11" name="[TbRegistrosSaida].[Mês  Competência].&amp;[12]"/>
          </x15:cachedUniqueNames>
        </ext>
      </extLst>
    </cacheField>
    <cacheField name="[Measures].[Soma de Valor]" caption="Soma de Valor" numFmtId="0" hierarchy="11" level="32767"/>
  </cacheFields>
  <cacheHierarchies count="14">
    <cacheHierarchy uniqueName="[TbRegistrosSaida].[Data do Caixa Realizado]" caption="Data do Caixa Realizado" attribute="1" defaultMemberUniqueName="[TbRegistrosSaida].[Data do Caixa Realizado].[All]" allUniqueName="[TbRegistrosSaida].[Data do Caixa Realizado].[All]" dimensionUniqueName="[TbRegistrosSaida]" displayFolder="" count="2" memberValueDatatype="130" unbalanced="0"/>
    <cacheHierarchy uniqueName="[TbRegistrosSaida].[Data da Competência]" caption="Data da Competência" attribute="1" time="1" defaultMemberUniqueName="[TbRegistrosSaida].[Data da Competência].[All]" allUniqueName="[TbRegistrosSaida].[Data da Competência].[All]" dimensionUniqueName="[TbRegistrosSaida]" displayFolder="" count="2" memberValueDatatype="7" unbalanced="0"/>
    <cacheHierarchy uniqueName="[TbRegistrosSaida].[Data do Caixa Previsto]" caption="Data do Caixa Previsto" attribute="1" time="1" defaultMemberUniqueName="[TbRegistrosSaida].[Data do Caixa Previsto].[All]" allUniqueName="[TbRegistrosSaida].[Data do Caixa Previsto].[All]" dimensionUniqueName="[TbRegistrosSaida]" displayFolder="" count="2" memberValueDatatype="7" unbalanced="0"/>
    <cacheHierarchy uniqueName="[TbRegistrosSaida].[Conta Nível 1]" caption="Conta Nível 1" attribute="1" defaultMemberUniqueName="[TbRegistrosSaida].[Conta Nível 1].[All]" allUniqueName="[TbRegistrosSaida].[Conta Nível 1].[All]" dimensionUniqueName="[TbRegistrosSaida]" displayFolder="" count="2" memberValueDatatype="130" unbalanced="0">
      <fieldsUsage count="2">
        <fieldUsage x="-1"/>
        <fieldUsage x="1"/>
      </fieldsUsage>
    </cacheHierarchy>
    <cacheHierarchy uniqueName="[TbRegistrosSaida].[Conta Nível 2]" caption="Conta Nível 2" attribute="1" defaultMemberUniqueName="[TbRegistrosSaida].[Conta Nível 2].[All]" allUniqueName="[TbRegistrosSaida].[Conta Nível 2].[All]" dimensionUniqueName="[TbRegistrosSaida]" displayFolder="" count="2" memberValueDatatype="130" unbalanced="0">
      <fieldsUsage count="2">
        <fieldUsage x="-1"/>
        <fieldUsage x="2"/>
      </fieldsUsage>
    </cacheHierarchy>
    <cacheHierarchy uniqueName="[TbRegistrosSaida].[Histórico]" caption="Histórico" attribute="1" defaultMemberUniqueName="[TbRegistrosSaida].[Histórico].[All]" allUniqueName="[TbRegistrosSaida].[Histórico].[All]" dimensionUniqueName="[TbRegistrosSaida]" displayFolder="" count="2" memberValueDatatype="130" unbalanced="0"/>
    <cacheHierarchy uniqueName="[TbRegistrosSaida].[Valor]" caption="Valor" attribute="1" defaultMemberUniqueName="[TbRegistrosSaida].[Valor].[All]" allUniqueName="[TbRegistrosSaida].[Valor].[All]" dimensionUniqueName="[TbRegistrosSaida]" displayFolder="" count="2" memberValueDatatype="20" unbalanced="0"/>
    <cacheHierarchy uniqueName="[TbRegistrosSaida].[Mês Caixa]" caption="Mês Caixa" attribute="1" defaultMemberUniqueName="[TbRegistrosSaida].[Mês Caixa].[All]" allUniqueName="[TbRegistrosSaida].[Mês Caixa].[All]" dimensionUniqueName="[TbRegistrosSaida]" displayFolder="" count="2" memberValueDatatype="20" unbalanced="0"/>
    <cacheHierarchy uniqueName="[TbRegistrosSaida].[Ano Caixa]" caption="Ano Caixa" attribute="1" defaultMemberUniqueName="[TbRegistrosSaida].[Ano Caixa].[All]" allUniqueName="[TbRegistrosSaida].[Ano Caixa].[All]" dimensionUniqueName="[TbRegistrosSaida]" displayFolder="" count="2" memberValueDatatype="20" unbalanced="0"/>
    <cacheHierarchy uniqueName="[TbRegistrosSaida].[Mês  Competência]" caption="Mês  Competência" attribute="1" defaultMemberUniqueName="[TbRegistrosSaida].[Mês  Competência].[All]" allUniqueName="[TbRegistrosSaida].[Mês  Competência].[All]" dimensionUniqueName="[TbRegistrosSaida]" displayFolder="" count="2" memberValueDatatype="20" unbalanced="0">
      <fieldsUsage count="2">
        <fieldUsage x="-1"/>
        <fieldUsage x="3"/>
      </fieldsUsage>
    </cacheHierarchy>
    <cacheHierarchy uniqueName="[TbRegistrosSaida].[Ano  Competência]" caption="Ano  Competência" attribute="1" defaultMemberUniqueName="[TbRegistrosSaida].[Ano  Competência].[All]" allUniqueName="[TbRegistrosSaida].[Ano  Competência].[All]" dimensionUniqueName="[TbRegistrosSaida]" displayFolder="" count="2" memberValueDatatype="20" unbalanced="0">
      <fieldsUsage count="2">
        <fieldUsage x="-1"/>
        <fieldUsage x="0"/>
      </fieldsUsage>
    </cacheHierarchy>
    <cacheHierarchy uniqueName="[Measures].[Soma de Valor]" caption="Soma de Valor" measure="1" displayFolder="" measureGroup="TbRegistrosSaid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bRegistrosSaida]" caption="__XL_Count TbRegistrosSaida" measure="1" displayFolder="" measureGroup="TbRegistrosSaid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bRegistrosSaida" uniqueName="[TbRegistrosSaida]" caption="TbRegistrosSaida"/>
  </dimensions>
  <measureGroups count="1">
    <measureGroup name="TbRegistrosSaida" caption="TbRegistrosSaid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392.752931134259" createdVersion="5" refreshedVersion="5" minRefreshableVersion="3" recordCount="231">
  <cacheSource type="worksheet">
    <worksheetSource name="TbRegistroEntradas" r:id="rId2"/>
  </cacheSource>
  <cacheFields count="14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_x000a_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_x000a_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ntainsBlank="1" count="3">
        <m/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5394.678998495372" createdVersion="5" refreshedVersion="5" minRefreshableVersion="3" recordCount="229">
  <cacheSource type="worksheet">
    <worksheetSource name="TbRegistrosSaida" r:id="rId2"/>
  </cacheSource>
  <cacheFields count="14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_x000a_Competência" numFmtId="0">
      <sharedItems containsSemiMixedTypes="0" containsString="0" containsNumber="1" containsInteger="1" minValue="1" maxValue="12"/>
    </cacheField>
    <cacheField name="Ano _x000a_Competência" numFmtId="0">
      <sharedItems containsSemiMixedTypes="0" containsString="0" containsNumber="1" containsInteger="1" minValue="2017" maxValue="2019"/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_x000a_atraso" numFmtId="0">
      <sharedItems containsSemiMixedTypes="0" containsString="0" containsNumber="1" minValue="0" maxValue="2409.2969940987969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5385.62963935185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TbRegistrosSaida].[Data do Caixa Realizado]" caption="Data do Caixa Realizado" attribute="1" defaultMemberUniqueName="[TbRegistrosSaida].[Data do Caixa Realizado].[All]" allUniqueName="[TbRegistrosSaida].[Data do Caixa Realizado].[All]" dimensionUniqueName="[TbRegistrosSaida]" displayFolder="" count="0" memberValueDatatype="130" unbalanced="0"/>
    <cacheHierarchy uniqueName="[TbRegistrosSaida].[Data da Competência]" caption="Data da Competência" attribute="1" time="1" defaultMemberUniqueName="[TbRegistrosSaida].[Data da Competência].[All]" allUniqueName="[TbRegistrosSaida].[Data da Competência].[All]" dimensionUniqueName="[TbRegistrosSaida]" displayFolder="" count="0" memberValueDatatype="7" unbalanced="0"/>
    <cacheHierarchy uniqueName="[TbRegistrosSaida].[Data do Caixa Previsto]" caption="Data do Caixa Previsto" attribute="1" time="1" defaultMemberUniqueName="[TbRegistrosSaida].[Data do Caixa Previsto].[All]" allUniqueName="[TbRegistrosSaida].[Data do Caixa Previsto].[All]" dimensionUniqueName="[TbRegistrosSaida]" displayFolder="" count="0" memberValueDatatype="7" unbalanced="0"/>
    <cacheHierarchy uniqueName="[TbRegistrosSaida].[Conta Nível 1]" caption="Conta Nível 1" attribute="1" defaultMemberUniqueName="[TbRegistrosSaida].[Conta Nível 1].[All]" allUniqueName="[TbRegistrosSaida].[Conta Nível 1].[All]" dimensionUniqueName="[TbRegistrosSaida]" displayFolder="" count="0" memberValueDatatype="130" unbalanced="0"/>
    <cacheHierarchy uniqueName="[TbRegistrosSaida].[Conta Nível 2]" caption="Conta Nível 2" attribute="1" defaultMemberUniqueName="[TbRegistrosSaida].[Conta Nível 2].[All]" allUniqueName="[TbRegistrosSaida].[Conta Nível 2].[All]" dimensionUniqueName="[TbRegistrosSaida]" displayFolder="" count="0" memberValueDatatype="130" unbalanced="0"/>
    <cacheHierarchy uniqueName="[TbRegistrosSaida].[Histórico]" caption="Histórico" attribute="1" defaultMemberUniqueName="[TbRegistrosSaida].[Histórico].[All]" allUniqueName="[TbRegistrosSaida].[Histórico].[All]" dimensionUniqueName="[TbRegistrosSaida]" displayFolder="" count="0" memberValueDatatype="130" unbalanced="0"/>
    <cacheHierarchy uniqueName="[TbRegistrosSaida].[Valor]" caption="Valor" attribute="1" defaultMemberUniqueName="[TbRegistrosSaida].[Valor].[All]" allUniqueName="[TbRegistrosSaida].[Valor].[All]" dimensionUniqueName="[TbRegistrosSaida]" displayFolder="" count="0" memberValueDatatype="20" unbalanced="0"/>
    <cacheHierarchy uniqueName="[TbRegistrosSaida].[Mês Caixa]" caption="Mês Caixa" attribute="1" defaultMemberUniqueName="[TbRegistrosSaida].[Mês Caixa].[All]" allUniqueName="[TbRegistrosSaida].[Mês Caixa].[All]" dimensionUniqueName="[TbRegistrosSaida]" displayFolder="" count="0" memberValueDatatype="20" unbalanced="0"/>
    <cacheHierarchy uniqueName="[TbRegistrosSaida].[Ano Caixa]" caption="Ano Caixa" attribute="1" defaultMemberUniqueName="[TbRegistrosSaida].[Ano Caixa].[All]" allUniqueName="[TbRegistrosSaida].[Ano Caixa].[All]" dimensionUniqueName="[TbRegistrosSaida]" displayFolder="" count="0" memberValueDatatype="20" unbalanced="0"/>
    <cacheHierarchy uniqueName="[TbRegistrosSaida].[Mês  Competência]" caption="Mês  Competência" attribute="1" defaultMemberUniqueName="[TbRegistrosSaida].[Mês  Competência].[All]" allUniqueName="[TbRegistrosSaida].[Mês  Competência].[All]" dimensionUniqueName="[TbRegistrosSaida]" displayFolder="" count="2" memberValueDatatype="20" unbalanced="0"/>
    <cacheHierarchy uniqueName="[TbRegistrosSaida].[Ano  Competência]" caption="Ano  Competência" attribute="1" defaultMemberUniqueName="[TbRegistrosSaida].[Ano  Competência].[All]" allUniqueName="[TbRegistrosSaida].[Ano  Competência].[All]" dimensionUniqueName="[TbRegistrosSaida]" displayFolder="" count="2" memberValueDatatype="20" unbalanced="0"/>
    <cacheHierarchy uniqueName="[Measures].[Soma de Valor]" caption="Soma de Valor" measure="1" displayFolder="" measureGroup="TbRegistrosSaid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bRegistrosSaida]" caption="__XL_Count TbRegistrosSaida" measure="1" displayFolder="" measureGroup="TbRegistrosSaida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1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1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1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1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1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1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1"/>
  </r>
  <r>
    <s v=""/>
    <d v="2017-09-10T00:00:00"/>
    <d v="2017-10-05T22:54:12"/>
    <x v="0"/>
    <x v="1"/>
    <s v="NF2421"/>
    <n v="4983"/>
    <x v="4"/>
    <n v="0"/>
    <x v="1"/>
    <x v="0"/>
    <x v="2"/>
    <x v="0"/>
    <x v="2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1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1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1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1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1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1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1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1"/>
  </r>
  <r>
    <s v=""/>
    <d v="2017-10-09T00:00:00"/>
    <d v="2017-11-04T07:09:50"/>
    <x v="0"/>
    <x v="0"/>
    <s v="NF5012"/>
    <n v="1171"/>
    <x v="4"/>
    <n v="0"/>
    <x v="2"/>
    <x v="0"/>
    <x v="3"/>
    <x v="0"/>
    <x v="2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1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1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1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1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1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1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1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1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1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1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1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1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1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1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1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1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1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1"/>
  </r>
  <r>
    <s v=""/>
    <d v="2017-11-29T00:00:00"/>
    <d v="2018-01-26T12:01:24"/>
    <x v="0"/>
    <x v="3"/>
    <s v="NF4129"/>
    <n v="1284"/>
    <x v="4"/>
    <n v="0"/>
    <x v="3"/>
    <x v="0"/>
    <x v="5"/>
    <x v="1"/>
    <x v="2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1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1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1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1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1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1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1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1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1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1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1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1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1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1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1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1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1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1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1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1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1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1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1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1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1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1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1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1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1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1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1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1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1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1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1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1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1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1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1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1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1"/>
  </r>
  <r>
    <s v=""/>
    <d v="2018-03-23T00:00:00"/>
    <d v="2018-04-09T01:30:48"/>
    <x v="0"/>
    <x v="0"/>
    <s v="NF2814"/>
    <n v="2388"/>
    <x v="4"/>
    <n v="0"/>
    <x v="7"/>
    <x v="1"/>
    <x v="8"/>
    <x v="1"/>
    <x v="2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1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1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1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1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1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1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1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1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1"/>
  </r>
  <r>
    <s v=""/>
    <d v="2018-04-19T00:00:00"/>
    <d v="2018-06-15T08:09:46"/>
    <x v="0"/>
    <x v="1"/>
    <s v="NF9381"/>
    <n v="2224"/>
    <x v="4"/>
    <n v="0"/>
    <x v="8"/>
    <x v="1"/>
    <x v="10"/>
    <x v="1"/>
    <x v="2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1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1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1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1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1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1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1"/>
  </r>
  <r>
    <s v=""/>
    <d v="2018-05-24T00:00:00"/>
    <d v="2018-06-24T10:58:45"/>
    <x v="0"/>
    <x v="3"/>
    <s v="NF7741"/>
    <n v="3878"/>
    <x v="4"/>
    <n v="0"/>
    <x v="9"/>
    <x v="1"/>
    <x v="10"/>
    <x v="1"/>
    <x v="2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1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1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1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1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1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1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1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1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1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1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1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1"/>
  </r>
  <r>
    <s v=""/>
    <d v="2018-06-24T00:00:00"/>
    <d v="2018-08-01T15:18:17"/>
    <x v="0"/>
    <x v="2"/>
    <s v="NF1725"/>
    <n v="770"/>
    <x v="4"/>
    <n v="0"/>
    <x v="10"/>
    <x v="1"/>
    <x v="0"/>
    <x v="1"/>
    <x v="2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1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1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1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1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1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1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1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1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1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1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1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1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1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1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1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1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1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1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1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1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1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1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1"/>
  </r>
  <r>
    <s v=""/>
    <d v="2018-09-01T00:00:00"/>
    <d v="2018-09-27T15:55:52"/>
    <x v="0"/>
    <x v="1"/>
    <s v="NF6643"/>
    <n v="4253"/>
    <x v="4"/>
    <n v="0"/>
    <x v="1"/>
    <x v="1"/>
    <x v="1"/>
    <x v="1"/>
    <x v="2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1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1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1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1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1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1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1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1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1"/>
  </r>
  <r>
    <s v=""/>
    <d v="2018-10-05T00:00:00"/>
    <d v="2018-10-26T19:35:25"/>
    <x v="0"/>
    <x v="3"/>
    <s v="NF3137"/>
    <n v="4922"/>
    <x v="4"/>
    <n v="0"/>
    <x v="2"/>
    <x v="1"/>
    <x v="2"/>
    <x v="1"/>
    <x v="2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1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1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1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1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1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1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1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1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1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1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1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1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1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1"/>
  </r>
  <r>
    <s v=""/>
    <d v="2018-11-23T00:00:00"/>
    <d v="2018-12-31T01:31:16"/>
    <x v="0"/>
    <x v="1"/>
    <s v="NF5107"/>
    <n v="1414"/>
    <x v="4"/>
    <n v="0"/>
    <x v="3"/>
    <x v="1"/>
    <x v="4"/>
    <x v="1"/>
    <x v="2"/>
  </r>
  <r>
    <s v=""/>
    <d v="2018-11-26T00:00:00"/>
    <d v="2018-12-13T21:21:29"/>
    <x v="0"/>
    <x v="3"/>
    <s v="NF4367"/>
    <n v="919"/>
    <x v="4"/>
    <n v="0"/>
    <x v="3"/>
    <x v="1"/>
    <x v="4"/>
    <x v="1"/>
    <x v="2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1"/>
  </r>
  <r>
    <s v=""/>
    <d v="2018-11-30T00:00:00"/>
    <d v="2018-12-21T06:25:18"/>
    <x v="0"/>
    <x v="2"/>
    <s v="NF5922"/>
    <n v="4639"/>
    <x v="4"/>
    <n v="0"/>
    <x v="3"/>
    <x v="1"/>
    <x v="4"/>
    <x v="1"/>
    <x v="2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1"/>
  </r>
  <r>
    <s v=""/>
    <d v="2018-12-10T00:00:00"/>
    <d v="2019-01-12T04:05:06"/>
    <x v="0"/>
    <x v="2"/>
    <s v="NF1938"/>
    <n v="483"/>
    <x v="4"/>
    <n v="0"/>
    <x v="4"/>
    <x v="1"/>
    <x v="5"/>
    <x v="2"/>
    <x v="2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1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1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1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1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1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1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1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1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1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1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1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1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1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1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1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1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1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1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1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1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1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1"/>
  </r>
  <r>
    <s v=""/>
    <d v="2019-02-16T00:00:00"/>
    <d v="2019-04-15T04:56:28"/>
    <x v="0"/>
    <x v="1"/>
    <s v="NF4097"/>
    <n v="928"/>
    <x v="4"/>
    <n v="0"/>
    <x v="6"/>
    <x v="2"/>
    <x v="8"/>
    <x v="2"/>
    <x v="2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1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1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1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1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1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1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1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1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1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1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1"/>
  </r>
  <r>
    <s v=""/>
    <d v="2019-03-28T00:00:00"/>
    <d v="2019-05-01T21:23:18"/>
    <x v="0"/>
    <x v="2"/>
    <s v="NF2352"/>
    <n v="1348"/>
    <x v="4"/>
    <n v="0"/>
    <x v="7"/>
    <x v="2"/>
    <x v="9"/>
    <x v="2"/>
    <x v="2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1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1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1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1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1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1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1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1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1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1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1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1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1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1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1"/>
  </r>
  <r>
    <s v=""/>
    <d v="2019-05-12T00:00:00"/>
    <d v="2019-05-20T09:30:20"/>
    <x v="0"/>
    <x v="1"/>
    <s v="NF7868"/>
    <n v="667"/>
    <x v="4"/>
    <n v="0"/>
    <x v="9"/>
    <x v="2"/>
    <x v="9"/>
    <x v="2"/>
    <x v="2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1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1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1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1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1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1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1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1"/>
  </r>
  <r>
    <s v=""/>
    <d v="2019-06-13T00:00:00"/>
    <d v="2019-07-22T22:11:49"/>
    <x v="0"/>
    <x v="3"/>
    <s v="NF8169"/>
    <n v="508"/>
    <x v="4"/>
    <n v="0"/>
    <x v="10"/>
    <x v="2"/>
    <x v="11"/>
    <x v="2"/>
    <x v="2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1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1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1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1"/>
  </r>
  <r>
    <s v=""/>
    <d v="2019-06-28T00:00:00"/>
    <d v="2019-07-16T06:26:47"/>
    <x v="0"/>
    <x v="1"/>
    <s v="NF6344"/>
    <n v="1479"/>
    <x v="4"/>
    <n v="0"/>
    <x v="10"/>
    <x v="2"/>
    <x v="11"/>
    <x v="2"/>
    <x v="2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n v="8"/>
    <n v="2017"/>
    <x v="0"/>
    <x v="0"/>
    <n v="0"/>
  </r>
  <r>
    <d v="2017-09-17T19:57:23"/>
    <d v="2017-08-13T00:00:00"/>
    <d v="2017-09-17T19:57:23"/>
    <x v="0"/>
    <x v="1"/>
    <s v="NF5356"/>
    <n v="651"/>
    <x v="1"/>
    <n v="2017"/>
    <n v="8"/>
    <n v="2017"/>
    <x v="1"/>
    <x v="0"/>
    <n v="0"/>
  </r>
  <r>
    <d v="2017-09-05T19:43:29"/>
    <d v="2017-08-18T00:00:00"/>
    <d v="2017-09-05T19:43:29"/>
    <x v="0"/>
    <x v="0"/>
    <s v="NF1847"/>
    <n v="131"/>
    <x v="1"/>
    <n v="2017"/>
    <n v="8"/>
    <n v="2017"/>
    <x v="1"/>
    <x v="0"/>
    <n v="0"/>
  </r>
  <r>
    <d v="2017-09-26T09:36:33"/>
    <d v="2017-08-23T00:00:00"/>
    <d v="2017-09-26T09:36:33"/>
    <x v="0"/>
    <x v="0"/>
    <s v="NF7011"/>
    <n v="803"/>
    <x v="1"/>
    <n v="2017"/>
    <n v="8"/>
    <n v="2017"/>
    <x v="1"/>
    <x v="0"/>
    <n v="0"/>
  </r>
  <r>
    <d v="2017-09-24T01:23:44"/>
    <d v="2017-08-24T00:00:00"/>
    <d v="2017-09-24T01:23:44"/>
    <x v="0"/>
    <x v="1"/>
    <s v="NF7746"/>
    <n v="4460"/>
    <x v="1"/>
    <n v="2017"/>
    <n v="8"/>
    <n v="2017"/>
    <x v="1"/>
    <x v="0"/>
    <n v="0"/>
  </r>
  <r>
    <d v="2017-09-02T08:36:39"/>
    <d v="2017-08-25T00:00:00"/>
    <d v="2017-09-02T08:36:39"/>
    <x v="0"/>
    <x v="2"/>
    <s v="NF1507"/>
    <n v="299"/>
    <x v="1"/>
    <n v="2017"/>
    <n v="8"/>
    <n v="2017"/>
    <x v="1"/>
    <x v="0"/>
    <n v="0"/>
  </r>
  <r>
    <d v="2017-10-06T14:20:21"/>
    <d v="2017-08-29T00:00:00"/>
    <d v="2017-10-06T14:20:21"/>
    <x v="0"/>
    <x v="1"/>
    <s v="NF5445"/>
    <n v="618"/>
    <x v="0"/>
    <n v="2017"/>
    <n v="8"/>
    <n v="2017"/>
    <x v="0"/>
    <x v="0"/>
    <n v="0"/>
  </r>
  <r>
    <d v="2017-09-12T02:40:54"/>
    <d v="2017-09-01T00:00:00"/>
    <d v="2017-09-02T13:21:31"/>
    <x v="0"/>
    <x v="1"/>
    <s v="NF7526"/>
    <n v="2505"/>
    <x v="1"/>
    <n v="2017"/>
    <n v="9"/>
    <n v="2017"/>
    <x v="1"/>
    <x v="0"/>
    <n v="9.5551236771279946"/>
  </r>
  <r>
    <d v="2017-09-09T10:01:19"/>
    <d v="2017-09-04T00:00:00"/>
    <d v="2017-09-09T10:01:19"/>
    <x v="0"/>
    <x v="0"/>
    <s v="NF7559"/>
    <n v="817"/>
    <x v="1"/>
    <n v="2017"/>
    <n v="9"/>
    <n v="2017"/>
    <x v="1"/>
    <x v="0"/>
    <n v="0"/>
  </r>
  <r>
    <s v=""/>
    <d v="2017-09-06T00:00:00"/>
    <d v="2017-09-06T16:52:20"/>
    <x v="0"/>
    <x v="2"/>
    <s v="NF9357"/>
    <n v="1565"/>
    <x v="2"/>
    <n v="0"/>
    <n v="9"/>
    <n v="2017"/>
    <x v="1"/>
    <x v="0"/>
    <n v="2409.2969940987969"/>
  </r>
  <r>
    <s v=""/>
    <d v="2017-09-12T00:00:00"/>
    <d v="2017-10-12T05:36:22"/>
    <x v="0"/>
    <x v="3"/>
    <s v="NF3898"/>
    <n v="1357"/>
    <x v="2"/>
    <n v="0"/>
    <n v="9"/>
    <n v="2017"/>
    <x v="0"/>
    <x v="0"/>
    <n v="2373.766408007039"/>
  </r>
  <r>
    <d v="2017-10-17T07:52:04"/>
    <d v="2017-09-13T00:00:00"/>
    <d v="2017-10-17T07:52:04"/>
    <x v="0"/>
    <x v="3"/>
    <s v="NF7275"/>
    <n v="4739"/>
    <x v="0"/>
    <n v="2017"/>
    <n v="9"/>
    <n v="2017"/>
    <x v="0"/>
    <x v="0"/>
    <n v="0"/>
  </r>
  <r>
    <d v="2017-09-30T14:22:47"/>
    <d v="2017-09-14T00:00:00"/>
    <d v="2017-09-30T14:22:47"/>
    <x v="0"/>
    <x v="0"/>
    <s v="NF9591"/>
    <n v="4675"/>
    <x v="1"/>
    <n v="2017"/>
    <n v="9"/>
    <n v="2017"/>
    <x v="1"/>
    <x v="0"/>
    <n v="0"/>
  </r>
  <r>
    <d v="2017-09-26T03:10:09"/>
    <d v="2017-09-19T00:00:00"/>
    <d v="2017-09-26T03:10:09"/>
    <x v="0"/>
    <x v="1"/>
    <s v="NF3104"/>
    <n v="1797"/>
    <x v="1"/>
    <n v="2017"/>
    <n v="9"/>
    <n v="2017"/>
    <x v="1"/>
    <x v="0"/>
    <n v="0"/>
  </r>
  <r>
    <d v="2017-11-04T23:27:43"/>
    <d v="2017-09-24T00:00:00"/>
    <d v="2017-11-04T23:27:43"/>
    <x v="0"/>
    <x v="3"/>
    <s v="NF3440"/>
    <n v="888"/>
    <x v="3"/>
    <n v="2017"/>
    <n v="9"/>
    <n v="2017"/>
    <x v="2"/>
    <x v="0"/>
    <n v="0"/>
  </r>
  <r>
    <d v="2017-10-07T21:33:11"/>
    <d v="2017-09-25T00:00:00"/>
    <d v="2017-10-07T21:33:11"/>
    <x v="0"/>
    <x v="1"/>
    <s v="NF9195"/>
    <n v="2784"/>
    <x v="0"/>
    <n v="2017"/>
    <n v="9"/>
    <n v="2017"/>
    <x v="0"/>
    <x v="0"/>
    <n v="0"/>
  </r>
  <r>
    <d v="2017-10-02T22:40:07"/>
    <d v="2017-09-25T00:00:00"/>
    <d v="2017-10-02T22:40:07"/>
    <x v="0"/>
    <x v="2"/>
    <s v="NF1821"/>
    <n v="707"/>
    <x v="0"/>
    <n v="2017"/>
    <n v="9"/>
    <n v="2017"/>
    <x v="0"/>
    <x v="0"/>
    <n v="0"/>
  </r>
  <r>
    <d v="2018-01-18T20:49:17"/>
    <d v="2017-09-28T00:00:00"/>
    <d v="2017-11-03T14:25:06"/>
    <x v="0"/>
    <x v="2"/>
    <s v="NF5625"/>
    <n v="229"/>
    <x v="4"/>
    <n v="2018"/>
    <n v="9"/>
    <n v="2017"/>
    <x v="2"/>
    <x v="0"/>
    <n v="76.266783360420959"/>
  </r>
  <r>
    <d v="2017-11-20T07:27:14"/>
    <d v="2017-10-01T00:00:00"/>
    <d v="2017-11-20T07:27:14"/>
    <x v="0"/>
    <x v="1"/>
    <s v="NF7471"/>
    <n v="2894"/>
    <x v="3"/>
    <n v="2017"/>
    <n v="10"/>
    <n v="2017"/>
    <x v="2"/>
    <x v="0"/>
    <n v="0"/>
  </r>
  <r>
    <s v=""/>
    <d v="2017-10-04T00:00:00"/>
    <d v="2017-10-22T07:03:06"/>
    <x v="0"/>
    <x v="3"/>
    <s v="NF9225"/>
    <n v="4516"/>
    <x v="2"/>
    <n v="0"/>
    <n v="10"/>
    <n v="2017"/>
    <x v="0"/>
    <x v="0"/>
    <n v="2363.7061764536775"/>
  </r>
  <r>
    <d v="2017-10-23T01:23:23"/>
    <d v="2017-10-06T00:00:00"/>
    <d v="2017-10-23T01:23:23"/>
    <x v="0"/>
    <x v="3"/>
    <s v="NF3883"/>
    <n v="885"/>
    <x v="0"/>
    <n v="2017"/>
    <n v="10"/>
    <n v="2017"/>
    <x v="0"/>
    <x v="0"/>
    <n v="0"/>
  </r>
  <r>
    <d v="2017-11-12T13:56:26"/>
    <d v="2017-10-09T00:00:00"/>
    <d v="2017-11-07T23:41:34"/>
    <x v="0"/>
    <x v="4"/>
    <s v="NF9408"/>
    <n v="1509"/>
    <x v="3"/>
    <n v="2017"/>
    <n v="10"/>
    <n v="2017"/>
    <x v="2"/>
    <x v="0"/>
    <n v="4.5936627882620087"/>
  </r>
  <r>
    <d v="2018-02-03T05:45:33"/>
    <d v="2017-10-14T00:00:00"/>
    <d v="2017-11-06T01:00:26"/>
    <x v="0"/>
    <x v="1"/>
    <s v="NF1517"/>
    <n v="145"/>
    <x v="5"/>
    <n v="2018"/>
    <n v="10"/>
    <n v="2017"/>
    <x v="2"/>
    <x v="0"/>
    <n v="89.197988829830138"/>
  </r>
  <r>
    <d v="2017-11-12T07:13:39"/>
    <d v="2017-10-16T00:00:00"/>
    <d v="2017-10-23T05:53:31"/>
    <x v="0"/>
    <x v="1"/>
    <s v="NF8626"/>
    <n v="1311"/>
    <x v="3"/>
    <n v="2017"/>
    <n v="10"/>
    <n v="2017"/>
    <x v="0"/>
    <x v="0"/>
    <n v="20.055650867514487"/>
  </r>
  <r>
    <d v="2017-11-20T08:40:45"/>
    <d v="2017-10-18T00:00:00"/>
    <d v="2017-11-20T08:40:45"/>
    <x v="0"/>
    <x v="1"/>
    <s v="NF4936"/>
    <n v="4182"/>
    <x v="3"/>
    <n v="2017"/>
    <n v="10"/>
    <n v="2017"/>
    <x v="2"/>
    <x v="0"/>
    <n v="0"/>
  </r>
  <r>
    <d v="2017-10-29T09:31:32"/>
    <d v="2017-10-24T00:00:00"/>
    <d v="2017-10-29T09:31:32"/>
    <x v="0"/>
    <x v="2"/>
    <s v="NF7062"/>
    <n v="339"/>
    <x v="0"/>
    <n v="2017"/>
    <n v="10"/>
    <n v="2017"/>
    <x v="0"/>
    <x v="0"/>
    <n v="0"/>
  </r>
  <r>
    <d v="2018-01-30T23:32:10"/>
    <d v="2017-10-29T00:00:00"/>
    <d v="2017-11-29T04:12:14"/>
    <x v="0"/>
    <x v="4"/>
    <s v="NF3172"/>
    <n v="1788"/>
    <x v="4"/>
    <n v="2018"/>
    <n v="10"/>
    <n v="2017"/>
    <x v="2"/>
    <x v="0"/>
    <n v="62.805501991977508"/>
  </r>
  <r>
    <d v="2017-12-20T01:06:12"/>
    <d v="2017-11-03T00:00:00"/>
    <d v="2017-12-20T01:06:12"/>
    <x v="0"/>
    <x v="3"/>
    <s v="NF5821"/>
    <n v="1171"/>
    <x v="6"/>
    <n v="2017"/>
    <n v="11"/>
    <n v="2017"/>
    <x v="3"/>
    <x v="0"/>
    <n v="0"/>
  </r>
  <r>
    <d v="2017-11-14T19:11:45"/>
    <d v="2017-11-05T00:00:00"/>
    <d v="2017-11-14T19:11:45"/>
    <x v="0"/>
    <x v="1"/>
    <s v="NF8137"/>
    <n v="4059"/>
    <x v="3"/>
    <n v="2017"/>
    <n v="11"/>
    <n v="2017"/>
    <x v="2"/>
    <x v="0"/>
    <n v="0"/>
  </r>
  <r>
    <d v="2017-12-11T01:38:17"/>
    <d v="2017-11-08T00:00:00"/>
    <d v="2017-12-11T01:38:17"/>
    <x v="0"/>
    <x v="0"/>
    <s v="NF8083"/>
    <n v="4919"/>
    <x v="6"/>
    <n v="2017"/>
    <n v="11"/>
    <n v="2017"/>
    <x v="3"/>
    <x v="0"/>
    <n v="0"/>
  </r>
  <r>
    <d v="2017-12-28T10:48:36"/>
    <d v="2017-11-12T00:00:00"/>
    <d v="2017-12-18T12:17:45"/>
    <x v="0"/>
    <x v="1"/>
    <s v="NF9597"/>
    <n v="3224"/>
    <x v="6"/>
    <n v="2017"/>
    <n v="11"/>
    <n v="2017"/>
    <x v="3"/>
    <x v="0"/>
    <n v="9.938090082097915"/>
  </r>
  <r>
    <d v="2017-12-26T03:29:57"/>
    <d v="2017-11-15T00:00:00"/>
    <d v="2017-12-26T03:29:57"/>
    <x v="0"/>
    <x v="3"/>
    <s v="NF2065"/>
    <n v="3725"/>
    <x v="6"/>
    <n v="2017"/>
    <n v="11"/>
    <n v="2017"/>
    <x v="3"/>
    <x v="0"/>
    <n v="0"/>
  </r>
  <r>
    <d v="2017-12-16T06:54:15"/>
    <d v="2017-11-17T00:00:00"/>
    <d v="2017-12-16T06:54:15"/>
    <x v="0"/>
    <x v="3"/>
    <s v="NF3192"/>
    <n v="312"/>
    <x v="6"/>
    <n v="2017"/>
    <n v="11"/>
    <n v="2017"/>
    <x v="3"/>
    <x v="0"/>
    <n v="0"/>
  </r>
  <r>
    <d v="2018-01-12T16:03:24"/>
    <d v="2017-11-18T00:00:00"/>
    <d v="2018-01-12T16:03:24"/>
    <x v="0"/>
    <x v="1"/>
    <s v="NF1977"/>
    <n v="4773"/>
    <x v="4"/>
    <n v="2018"/>
    <n v="11"/>
    <n v="2017"/>
    <x v="4"/>
    <x v="1"/>
    <n v="0"/>
  </r>
  <r>
    <d v="2017-12-07T15:16:42"/>
    <d v="2017-11-19T00:00:00"/>
    <d v="2017-12-07T15:16:42"/>
    <x v="0"/>
    <x v="0"/>
    <s v="NF3208"/>
    <n v="228"/>
    <x v="6"/>
    <n v="2017"/>
    <n v="11"/>
    <n v="2017"/>
    <x v="3"/>
    <x v="0"/>
    <n v="0"/>
  </r>
  <r>
    <d v="2017-12-28T18:38:36"/>
    <d v="2017-11-22T00:00:00"/>
    <d v="2017-12-28T18:38:36"/>
    <x v="0"/>
    <x v="1"/>
    <s v="NF9545"/>
    <n v="450"/>
    <x v="6"/>
    <n v="2017"/>
    <n v="11"/>
    <n v="2017"/>
    <x v="3"/>
    <x v="0"/>
    <n v="0"/>
  </r>
  <r>
    <s v=""/>
    <d v="2017-11-23T00:00:00"/>
    <d v="2018-01-03T09:48:25"/>
    <x v="0"/>
    <x v="1"/>
    <s v="NF3100"/>
    <n v="1155"/>
    <x v="2"/>
    <n v="0"/>
    <n v="11"/>
    <n v="2017"/>
    <x v="4"/>
    <x v="1"/>
    <n v="2290.5913825177995"/>
  </r>
  <r>
    <s v=""/>
    <d v="2017-11-30T00:00:00"/>
    <d v="2017-12-01T00:35:34"/>
    <x v="0"/>
    <x v="1"/>
    <s v="NF7746"/>
    <n v="1967"/>
    <x v="2"/>
    <n v="0"/>
    <n v="11"/>
    <n v="2017"/>
    <x v="3"/>
    <x v="0"/>
    <n v="2323.9753024652091"/>
  </r>
  <r>
    <d v="2018-02-28T22:08:26"/>
    <d v="2017-12-01T00:00:00"/>
    <d v="2017-12-27T02:18:23"/>
    <x v="0"/>
    <x v="4"/>
    <s v="NF1179"/>
    <n v="2741"/>
    <x v="5"/>
    <n v="2018"/>
    <n v="12"/>
    <n v="2017"/>
    <x v="3"/>
    <x v="0"/>
    <n v="63.826419745593739"/>
  </r>
  <r>
    <d v="2018-01-25T08:17:33"/>
    <d v="2017-12-02T00:00:00"/>
    <d v="2018-01-25T08:17:33"/>
    <x v="0"/>
    <x v="2"/>
    <s v="NF3829"/>
    <n v="1130"/>
    <x v="4"/>
    <n v="2018"/>
    <n v="12"/>
    <n v="2017"/>
    <x v="4"/>
    <x v="1"/>
    <n v="0"/>
  </r>
  <r>
    <d v="2018-01-18T12:48:48"/>
    <d v="2017-12-06T00:00:00"/>
    <d v="2018-01-18T12:48:48"/>
    <x v="0"/>
    <x v="3"/>
    <s v="NF6865"/>
    <n v="4835"/>
    <x v="4"/>
    <n v="2018"/>
    <n v="12"/>
    <n v="2017"/>
    <x v="4"/>
    <x v="1"/>
    <n v="0"/>
  </r>
  <r>
    <d v="2018-01-29T01:49:50"/>
    <d v="2017-12-08T00:00:00"/>
    <d v="2018-01-29T01:49:50"/>
    <x v="0"/>
    <x v="4"/>
    <s v="NF4400"/>
    <n v="1411"/>
    <x v="4"/>
    <n v="2018"/>
    <n v="12"/>
    <n v="2017"/>
    <x v="4"/>
    <x v="1"/>
    <n v="0"/>
  </r>
  <r>
    <d v="2017-12-30T15:10:06"/>
    <d v="2017-12-10T00:00:00"/>
    <d v="2017-12-30T15:10:06"/>
    <x v="0"/>
    <x v="1"/>
    <s v="NF9617"/>
    <n v="457"/>
    <x v="6"/>
    <n v="2017"/>
    <n v="12"/>
    <n v="2017"/>
    <x v="3"/>
    <x v="0"/>
    <n v="0"/>
  </r>
  <r>
    <d v="2018-02-11T14:39:25"/>
    <d v="2017-12-15T00:00:00"/>
    <d v="2018-02-11T14:39:25"/>
    <x v="0"/>
    <x v="2"/>
    <s v="NF5659"/>
    <n v="2623"/>
    <x v="5"/>
    <n v="2018"/>
    <n v="12"/>
    <n v="2017"/>
    <x v="5"/>
    <x v="1"/>
    <n v="0"/>
  </r>
  <r>
    <d v="2017-12-29T04:49:13"/>
    <d v="2017-12-17T00:00:00"/>
    <d v="2017-12-29T04:49:13"/>
    <x v="0"/>
    <x v="4"/>
    <s v="NF6102"/>
    <n v="3440"/>
    <x v="6"/>
    <n v="2017"/>
    <n v="12"/>
    <n v="2017"/>
    <x v="3"/>
    <x v="0"/>
    <n v="0"/>
  </r>
  <r>
    <d v="2018-01-11T01:07:19"/>
    <d v="2017-12-20T00:00:00"/>
    <d v="2018-01-11T01:07:19"/>
    <x v="0"/>
    <x v="1"/>
    <s v="NF8162"/>
    <n v="3993"/>
    <x v="4"/>
    <n v="2018"/>
    <n v="12"/>
    <n v="2017"/>
    <x v="4"/>
    <x v="1"/>
    <n v="0"/>
  </r>
  <r>
    <d v="2018-02-17T01:10:28"/>
    <d v="2017-12-21T00:00:00"/>
    <d v="2018-02-17T01:10:28"/>
    <x v="0"/>
    <x v="1"/>
    <s v="NF4573"/>
    <n v="3273"/>
    <x v="5"/>
    <n v="2018"/>
    <n v="12"/>
    <n v="2017"/>
    <x v="5"/>
    <x v="1"/>
    <n v="0"/>
  </r>
  <r>
    <d v="2018-02-04T06:22:55"/>
    <d v="2017-12-25T00:00:00"/>
    <d v="2018-02-04T06:22:55"/>
    <x v="0"/>
    <x v="4"/>
    <s v="NF8503"/>
    <n v="4494"/>
    <x v="5"/>
    <n v="2018"/>
    <n v="12"/>
    <n v="2017"/>
    <x v="5"/>
    <x v="1"/>
    <n v="0"/>
  </r>
  <r>
    <d v="2018-01-24T22:12:42"/>
    <d v="2017-12-27T00:00:00"/>
    <d v="2018-01-24T22:12:42"/>
    <x v="0"/>
    <x v="0"/>
    <s v="NF3380"/>
    <n v="2511"/>
    <x v="4"/>
    <n v="2018"/>
    <n v="12"/>
    <n v="2017"/>
    <x v="4"/>
    <x v="1"/>
    <n v="0"/>
  </r>
  <r>
    <d v="2018-02-12T23:45:29"/>
    <d v="2017-12-29T00:00:00"/>
    <d v="2018-02-12T23:45:29"/>
    <x v="0"/>
    <x v="2"/>
    <s v="NF6566"/>
    <n v="2015"/>
    <x v="5"/>
    <n v="2018"/>
    <n v="12"/>
    <n v="2017"/>
    <x v="5"/>
    <x v="1"/>
    <n v="0"/>
  </r>
  <r>
    <d v="2018-03-21T07:29:39"/>
    <d v="2017-12-31T00:00:00"/>
    <d v="2018-02-20T08:29:43"/>
    <x v="0"/>
    <x v="3"/>
    <s v="NF5838"/>
    <n v="3413"/>
    <x v="7"/>
    <n v="2018"/>
    <n v="12"/>
    <n v="2017"/>
    <x v="5"/>
    <x v="1"/>
    <n v="28.958285734232049"/>
  </r>
  <r>
    <d v="2018-02-13T19:04:58"/>
    <d v="2018-01-03T00:00:00"/>
    <d v="2018-01-08T20:21:58"/>
    <x v="0"/>
    <x v="0"/>
    <s v="NF1174"/>
    <n v="4087"/>
    <x v="5"/>
    <n v="2018"/>
    <n v="1"/>
    <n v="2018"/>
    <x v="4"/>
    <x v="1"/>
    <n v="35.946524447870615"/>
  </r>
  <r>
    <d v="2018-01-17T08:55:33"/>
    <d v="2018-01-06T00:00:00"/>
    <d v="2018-01-17T08:55:33"/>
    <x v="0"/>
    <x v="1"/>
    <s v="NF2942"/>
    <n v="2441"/>
    <x v="4"/>
    <n v="2018"/>
    <n v="1"/>
    <n v="2018"/>
    <x v="4"/>
    <x v="1"/>
    <n v="0"/>
  </r>
  <r>
    <d v="2018-01-27T17:25:05"/>
    <d v="2018-01-09T00:00:00"/>
    <d v="2018-01-27T17:25:05"/>
    <x v="0"/>
    <x v="2"/>
    <s v="NF8563"/>
    <n v="3598"/>
    <x v="4"/>
    <n v="2018"/>
    <n v="1"/>
    <n v="2018"/>
    <x v="4"/>
    <x v="1"/>
    <n v="0"/>
  </r>
  <r>
    <d v="2018-01-18T19:45:35"/>
    <d v="2018-01-10T00:00:00"/>
    <d v="2018-01-18T19:45:35"/>
    <x v="0"/>
    <x v="1"/>
    <s v="NF8237"/>
    <n v="4895"/>
    <x v="4"/>
    <n v="2018"/>
    <n v="1"/>
    <n v="2018"/>
    <x v="4"/>
    <x v="1"/>
    <n v="0"/>
  </r>
  <r>
    <d v="2018-03-08T13:03:51"/>
    <d v="2018-01-12T00:00:00"/>
    <d v="2018-03-08T13:03:51"/>
    <x v="0"/>
    <x v="1"/>
    <s v="NF4859"/>
    <n v="971"/>
    <x v="7"/>
    <n v="2018"/>
    <n v="1"/>
    <n v="2018"/>
    <x v="6"/>
    <x v="1"/>
    <n v="0"/>
  </r>
  <r>
    <d v="2018-02-06T01:03:18"/>
    <d v="2018-01-13T00:00:00"/>
    <d v="2018-02-06T01:03:18"/>
    <x v="0"/>
    <x v="0"/>
    <s v="NF1529"/>
    <n v="556"/>
    <x v="5"/>
    <n v="2018"/>
    <n v="1"/>
    <n v="2018"/>
    <x v="5"/>
    <x v="1"/>
    <n v="0"/>
  </r>
  <r>
    <d v="2018-02-13T21:09:50"/>
    <d v="2018-01-14T00:00:00"/>
    <d v="2018-02-13T21:09:50"/>
    <x v="0"/>
    <x v="0"/>
    <s v="NF6931"/>
    <n v="1977"/>
    <x v="5"/>
    <n v="2018"/>
    <n v="1"/>
    <n v="2018"/>
    <x v="5"/>
    <x v="1"/>
    <n v="0"/>
  </r>
  <r>
    <d v="2018-01-27T08:34:59"/>
    <d v="2018-01-16T00:00:00"/>
    <d v="2018-01-27T08:34:59"/>
    <x v="0"/>
    <x v="1"/>
    <s v="NF7559"/>
    <n v="2951"/>
    <x v="4"/>
    <n v="2018"/>
    <n v="1"/>
    <n v="2018"/>
    <x v="4"/>
    <x v="1"/>
    <n v="0"/>
  </r>
  <r>
    <d v="2018-03-05T09:47:40"/>
    <d v="2018-01-20T00:00:00"/>
    <d v="2018-03-05T09:47:40"/>
    <x v="0"/>
    <x v="1"/>
    <s v="NF9620"/>
    <n v="2535"/>
    <x v="7"/>
    <n v="2018"/>
    <n v="1"/>
    <n v="2018"/>
    <x v="6"/>
    <x v="1"/>
    <n v="0"/>
  </r>
  <r>
    <d v="2018-02-10T13:54:37"/>
    <d v="2018-01-21T00:00:00"/>
    <d v="2018-02-10T13:54:37"/>
    <x v="0"/>
    <x v="4"/>
    <s v="NF4547"/>
    <n v="3057"/>
    <x v="5"/>
    <n v="2018"/>
    <n v="1"/>
    <n v="2018"/>
    <x v="5"/>
    <x v="1"/>
    <n v="0"/>
  </r>
  <r>
    <d v="2018-02-09T12:37:33"/>
    <d v="2018-01-23T00:00:00"/>
    <d v="2018-02-09T12:37:33"/>
    <x v="0"/>
    <x v="0"/>
    <s v="NF6004"/>
    <n v="3152"/>
    <x v="5"/>
    <n v="2018"/>
    <n v="1"/>
    <n v="2018"/>
    <x v="5"/>
    <x v="1"/>
    <n v="0"/>
  </r>
  <r>
    <d v="2018-03-08T03:16:39"/>
    <d v="2018-01-25T00:00:00"/>
    <d v="2018-03-08T03:16:39"/>
    <x v="0"/>
    <x v="3"/>
    <s v="NF3415"/>
    <n v="2247"/>
    <x v="7"/>
    <n v="2018"/>
    <n v="1"/>
    <n v="2018"/>
    <x v="6"/>
    <x v="1"/>
    <n v="0"/>
  </r>
  <r>
    <d v="2018-03-21T01:55:31"/>
    <d v="2018-01-27T00:00:00"/>
    <d v="2018-03-21T01:55:31"/>
    <x v="0"/>
    <x v="2"/>
    <s v="NF1603"/>
    <n v="2456"/>
    <x v="7"/>
    <n v="2018"/>
    <n v="1"/>
    <n v="2018"/>
    <x v="6"/>
    <x v="1"/>
    <n v="0"/>
  </r>
  <r>
    <d v="2018-02-22T13:23:19"/>
    <d v="2018-01-29T00:00:00"/>
    <d v="2018-02-11T14:14:40"/>
    <x v="0"/>
    <x v="1"/>
    <s v="NF8784"/>
    <n v="3801"/>
    <x v="5"/>
    <n v="2018"/>
    <n v="1"/>
    <n v="2018"/>
    <x v="5"/>
    <x v="1"/>
    <n v="10.96434565702657"/>
  </r>
  <r>
    <d v="2018-02-13T09:01:19"/>
    <d v="2018-01-31T00:00:00"/>
    <d v="2018-02-13T09:01:19"/>
    <x v="0"/>
    <x v="0"/>
    <s v="NF1826"/>
    <n v="3049"/>
    <x v="5"/>
    <n v="2018"/>
    <n v="1"/>
    <n v="2018"/>
    <x v="5"/>
    <x v="1"/>
    <n v="0"/>
  </r>
  <r>
    <d v="2018-03-29T23:53:02"/>
    <d v="2018-02-04T00:00:00"/>
    <d v="2018-03-11T03:08:27"/>
    <x v="0"/>
    <x v="4"/>
    <s v="NF7390"/>
    <n v="3255"/>
    <x v="7"/>
    <n v="2018"/>
    <n v="2"/>
    <n v="2018"/>
    <x v="6"/>
    <x v="1"/>
    <n v="18.864296683648718"/>
  </r>
  <r>
    <d v="2018-03-20T14:43:41"/>
    <d v="2018-02-05T00:00:00"/>
    <d v="2018-03-17T04:59:05"/>
    <x v="0"/>
    <x v="1"/>
    <s v="NF7009"/>
    <n v="2074"/>
    <x v="7"/>
    <n v="2018"/>
    <n v="2"/>
    <n v="2018"/>
    <x v="6"/>
    <x v="1"/>
    <n v="3.4059683494342607"/>
  </r>
  <r>
    <d v="2018-03-16T07:02:49"/>
    <d v="2018-02-06T00:00:00"/>
    <d v="2018-03-16T07:02:49"/>
    <x v="0"/>
    <x v="1"/>
    <s v="NF7629"/>
    <n v="3606"/>
    <x v="7"/>
    <n v="2018"/>
    <n v="2"/>
    <n v="2018"/>
    <x v="6"/>
    <x v="1"/>
    <n v="0"/>
  </r>
  <r>
    <d v="2018-03-18T07:54:53"/>
    <d v="2018-02-07T00:00:00"/>
    <d v="2018-03-18T07:54:53"/>
    <x v="0"/>
    <x v="2"/>
    <s v="NF2748"/>
    <n v="4867"/>
    <x v="7"/>
    <n v="2018"/>
    <n v="2"/>
    <n v="2018"/>
    <x v="6"/>
    <x v="1"/>
    <n v="0"/>
  </r>
  <r>
    <d v="2018-03-16T00:06:55"/>
    <d v="2018-02-09T00:00:00"/>
    <d v="2018-03-16T00:06:55"/>
    <x v="0"/>
    <x v="3"/>
    <s v="NF5961"/>
    <n v="702"/>
    <x v="7"/>
    <n v="2018"/>
    <n v="2"/>
    <n v="2018"/>
    <x v="6"/>
    <x v="1"/>
    <n v="0"/>
  </r>
  <r>
    <d v="2018-05-18T00:10:35"/>
    <d v="2018-02-14T00:00:00"/>
    <d v="2018-02-19T10:57:20"/>
    <x v="0"/>
    <x v="3"/>
    <s v="NF7680"/>
    <n v="2801"/>
    <x v="8"/>
    <n v="2018"/>
    <n v="2"/>
    <n v="2018"/>
    <x v="5"/>
    <x v="1"/>
    <n v="87.550870348401077"/>
  </r>
  <r>
    <s v=""/>
    <d v="2018-02-15T00:00:00"/>
    <d v="2018-03-10T18:40:49"/>
    <x v="0"/>
    <x v="1"/>
    <s v="NF9629"/>
    <n v="4438"/>
    <x v="2"/>
    <n v="0"/>
    <n v="2"/>
    <n v="2018"/>
    <x v="6"/>
    <x v="1"/>
    <n v="2224.2216524770338"/>
  </r>
  <r>
    <d v="2018-04-08T05:09:48"/>
    <d v="2018-02-20T00:00:00"/>
    <d v="2018-04-08T05:09:48"/>
    <x v="0"/>
    <x v="2"/>
    <s v="NF5978"/>
    <n v="3835"/>
    <x v="9"/>
    <n v="2018"/>
    <n v="2"/>
    <n v="2018"/>
    <x v="7"/>
    <x v="1"/>
    <n v="0"/>
  </r>
  <r>
    <d v="2018-04-09T09:13:30"/>
    <d v="2018-03-01T00:00:00"/>
    <d v="2018-04-09T09:13:30"/>
    <x v="0"/>
    <x v="1"/>
    <s v="NF5651"/>
    <n v="3893"/>
    <x v="9"/>
    <n v="2018"/>
    <n v="3"/>
    <n v="2018"/>
    <x v="7"/>
    <x v="1"/>
    <n v="0"/>
  </r>
  <r>
    <d v="2018-03-25T08:28:33"/>
    <d v="2018-03-04T00:00:00"/>
    <d v="2018-03-25T08:28:33"/>
    <x v="0"/>
    <x v="1"/>
    <s v="NF7772"/>
    <n v="1970"/>
    <x v="7"/>
    <n v="2018"/>
    <n v="3"/>
    <n v="2018"/>
    <x v="6"/>
    <x v="1"/>
    <n v="0"/>
  </r>
  <r>
    <d v="2018-04-29T08:19:53"/>
    <d v="2018-03-05T00:00:00"/>
    <d v="2018-04-29T08:19:53"/>
    <x v="0"/>
    <x v="3"/>
    <s v="NF5401"/>
    <n v="729"/>
    <x v="9"/>
    <n v="2018"/>
    <n v="3"/>
    <n v="2018"/>
    <x v="7"/>
    <x v="1"/>
    <n v="0"/>
  </r>
  <r>
    <d v="2018-03-29T23:02:23"/>
    <d v="2018-03-07T00:00:00"/>
    <d v="2018-03-29T23:02:23"/>
    <x v="0"/>
    <x v="2"/>
    <s v="NF9115"/>
    <n v="474"/>
    <x v="7"/>
    <n v="2018"/>
    <n v="3"/>
    <n v="2018"/>
    <x v="6"/>
    <x v="1"/>
    <n v="0"/>
  </r>
  <r>
    <d v="2018-04-07T20:13:31"/>
    <d v="2018-03-09T00:00:00"/>
    <d v="2018-04-07T20:13:31"/>
    <x v="0"/>
    <x v="3"/>
    <s v="NF4115"/>
    <n v="3164"/>
    <x v="9"/>
    <n v="2018"/>
    <n v="3"/>
    <n v="2018"/>
    <x v="7"/>
    <x v="1"/>
    <n v="0"/>
  </r>
  <r>
    <d v="2018-05-08T17:13:02"/>
    <d v="2018-03-14T00:00:00"/>
    <d v="2018-05-08T17:13:02"/>
    <x v="0"/>
    <x v="1"/>
    <s v="NF5683"/>
    <n v="3113"/>
    <x v="8"/>
    <n v="2018"/>
    <n v="3"/>
    <n v="2018"/>
    <x v="8"/>
    <x v="1"/>
    <n v="0"/>
  </r>
  <r>
    <d v="2018-07-07T06:27:25"/>
    <d v="2018-03-17T00:00:00"/>
    <d v="2018-04-11T13:42:41"/>
    <x v="0"/>
    <x v="4"/>
    <s v="NF7027"/>
    <n v="789"/>
    <x v="10"/>
    <n v="2018"/>
    <n v="3"/>
    <n v="2018"/>
    <x v="7"/>
    <x v="1"/>
    <n v="86.697733497596346"/>
  </r>
  <r>
    <d v="2018-04-01T13:26:12"/>
    <d v="2018-03-21T00:00:00"/>
    <d v="2018-04-01T13:26:12"/>
    <x v="0"/>
    <x v="4"/>
    <s v="NF7168"/>
    <n v="3521"/>
    <x v="9"/>
    <n v="2018"/>
    <n v="3"/>
    <n v="2018"/>
    <x v="7"/>
    <x v="1"/>
    <n v="0"/>
  </r>
  <r>
    <d v="2018-03-28T17:37:56"/>
    <d v="2018-03-24T00:00:00"/>
    <d v="2018-03-28T17:37:56"/>
    <x v="0"/>
    <x v="1"/>
    <s v="NF4972"/>
    <n v="4947"/>
    <x v="7"/>
    <n v="2018"/>
    <n v="3"/>
    <n v="2018"/>
    <x v="6"/>
    <x v="1"/>
    <n v="0"/>
  </r>
  <r>
    <d v="2018-05-03T14:57:10"/>
    <d v="2018-03-25T00:00:00"/>
    <d v="2018-05-03T14:57:10"/>
    <x v="0"/>
    <x v="4"/>
    <s v="NF7283"/>
    <n v="1527"/>
    <x v="8"/>
    <n v="2018"/>
    <n v="3"/>
    <n v="2018"/>
    <x v="8"/>
    <x v="1"/>
    <n v="0"/>
  </r>
  <r>
    <d v="2018-05-14T12:32:29"/>
    <d v="2018-04-01T00:00:00"/>
    <d v="2018-05-14T12:32:29"/>
    <x v="0"/>
    <x v="4"/>
    <s v="NF6320"/>
    <n v="764"/>
    <x v="8"/>
    <n v="2018"/>
    <n v="4"/>
    <n v="2018"/>
    <x v="8"/>
    <x v="1"/>
    <n v="0"/>
  </r>
  <r>
    <d v="2018-04-12T02:48:23"/>
    <d v="2018-04-03T00:00:00"/>
    <d v="2018-04-12T02:48:23"/>
    <x v="0"/>
    <x v="2"/>
    <s v="NF7850"/>
    <n v="2463"/>
    <x v="9"/>
    <n v="2018"/>
    <n v="4"/>
    <n v="2018"/>
    <x v="7"/>
    <x v="1"/>
    <n v="0"/>
  </r>
  <r>
    <d v="2018-04-30T01:56:26"/>
    <d v="2018-04-05T00:00:00"/>
    <d v="2018-04-25T16:44:12"/>
    <x v="0"/>
    <x v="3"/>
    <s v="NF2420"/>
    <n v="2111"/>
    <x v="9"/>
    <n v="2018"/>
    <n v="4"/>
    <n v="2018"/>
    <x v="7"/>
    <x v="1"/>
    <n v="4.3834890981233912"/>
  </r>
  <r>
    <d v="2018-05-01T13:42:29"/>
    <d v="2018-04-06T00:00:00"/>
    <d v="2018-05-01T13:42:29"/>
    <x v="0"/>
    <x v="1"/>
    <s v="NF6764"/>
    <n v="1144"/>
    <x v="8"/>
    <n v="2018"/>
    <n v="4"/>
    <n v="2018"/>
    <x v="8"/>
    <x v="1"/>
    <n v="0"/>
  </r>
  <r>
    <d v="2018-05-20T16:28:59"/>
    <d v="2018-04-10T00:00:00"/>
    <d v="2018-05-20T16:28:59"/>
    <x v="0"/>
    <x v="3"/>
    <s v="NF6382"/>
    <n v="597"/>
    <x v="8"/>
    <n v="2018"/>
    <n v="4"/>
    <n v="2018"/>
    <x v="8"/>
    <x v="1"/>
    <n v="0"/>
  </r>
  <r>
    <d v="2018-07-09T07:24:13"/>
    <d v="2018-04-16T00:00:00"/>
    <d v="2018-04-19T02:53:39"/>
    <x v="0"/>
    <x v="1"/>
    <s v="NF8079"/>
    <n v="3445"/>
    <x v="10"/>
    <n v="2018"/>
    <n v="4"/>
    <n v="2018"/>
    <x v="7"/>
    <x v="1"/>
    <n v="81.187894111586502"/>
  </r>
  <r>
    <d v="2018-05-02T07:19:37"/>
    <d v="2018-04-22T00:00:00"/>
    <d v="2018-05-02T07:19:37"/>
    <x v="0"/>
    <x v="4"/>
    <s v="NF2434"/>
    <n v="1996"/>
    <x v="8"/>
    <n v="2018"/>
    <n v="4"/>
    <n v="2018"/>
    <x v="8"/>
    <x v="1"/>
    <n v="0"/>
  </r>
  <r>
    <d v="2018-05-12T18:26:56"/>
    <d v="2018-04-28T00:00:00"/>
    <d v="2018-05-12T18:26:56"/>
    <x v="0"/>
    <x v="3"/>
    <s v="NF3230"/>
    <n v="1254"/>
    <x v="8"/>
    <n v="2018"/>
    <n v="4"/>
    <n v="2018"/>
    <x v="8"/>
    <x v="1"/>
    <n v="0"/>
  </r>
  <r>
    <d v="2018-05-21T03:30:05"/>
    <d v="2018-04-29T00:00:00"/>
    <d v="2018-05-03T19:21:01"/>
    <x v="0"/>
    <x v="3"/>
    <s v="NF8847"/>
    <n v="905"/>
    <x v="8"/>
    <n v="2018"/>
    <n v="4"/>
    <n v="2018"/>
    <x v="8"/>
    <x v="1"/>
    <n v="17.339637859593495"/>
  </r>
  <r>
    <d v="2018-05-31T14:47:54"/>
    <d v="2018-05-02T00:00:00"/>
    <d v="2018-05-31T14:47:54"/>
    <x v="0"/>
    <x v="2"/>
    <s v="NF8053"/>
    <n v="2975"/>
    <x v="8"/>
    <n v="2018"/>
    <n v="5"/>
    <n v="2018"/>
    <x v="8"/>
    <x v="1"/>
    <n v="0"/>
  </r>
  <r>
    <d v="2018-05-08T16:17:57"/>
    <d v="2018-05-03T00:00:00"/>
    <d v="2018-05-08T16:17:57"/>
    <x v="0"/>
    <x v="1"/>
    <s v="NF2454"/>
    <n v="4807"/>
    <x v="8"/>
    <n v="2018"/>
    <n v="5"/>
    <n v="2018"/>
    <x v="8"/>
    <x v="1"/>
    <n v="0"/>
  </r>
  <r>
    <d v="2018-06-13T07:07:36"/>
    <d v="2018-05-10T00:00:00"/>
    <d v="2018-06-13T07:07:36"/>
    <x v="0"/>
    <x v="4"/>
    <s v="NF8252"/>
    <n v="1882"/>
    <x v="11"/>
    <n v="2018"/>
    <n v="5"/>
    <n v="2018"/>
    <x v="9"/>
    <x v="1"/>
    <n v="0"/>
  </r>
  <r>
    <d v="2018-06-27T19:00:08"/>
    <d v="2018-05-15T00:00:00"/>
    <d v="2018-06-27T19:00:08"/>
    <x v="0"/>
    <x v="0"/>
    <s v="NF6573"/>
    <n v="3932"/>
    <x v="11"/>
    <n v="2018"/>
    <n v="5"/>
    <n v="2018"/>
    <x v="9"/>
    <x v="1"/>
    <n v="0"/>
  </r>
  <r>
    <s v=""/>
    <d v="2018-05-18T00:00:00"/>
    <d v="2018-06-02T02:25:53"/>
    <x v="0"/>
    <x v="1"/>
    <s v="NF8780"/>
    <n v="701"/>
    <x v="2"/>
    <n v="0"/>
    <n v="5"/>
    <n v="2018"/>
    <x v="9"/>
    <x v="1"/>
    <n v="2140.8986873632384"/>
  </r>
  <r>
    <d v="2018-06-27T06:00:26"/>
    <d v="2018-05-19T00:00:00"/>
    <d v="2018-06-27T06:00:26"/>
    <x v="0"/>
    <x v="1"/>
    <s v="NF6166"/>
    <n v="2651"/>
    <x v="11"/>
    <n v="2018"/>
    <n v="5"/>
    <n v="2018"/>
    <x v="9"/>
    <x v="1"/>
    <n v="0"/>
  </r>
  <r>
    <d v="2018-09-07T07:57:31"/>
    <d v="2018-05-26T00:00:00"/>
    <d v="2018-07-01T19:37:16"/>
    <x v="0"/>
    <x v="1"/>
    <s v="NF8437"/>
    <n v="3792"/>
    <x v="1"/>
    <n v="2018"/>
    <n v="5"/>
    <n v="2018"/>
    <x v="10"/>
    <x v="1"/>
    <n v="67.514069071345148"/>
  </r>
  <r>
    <d v="2018-08-22T00:57:34"/>
    <d v="2018-05-28T00:00:00"/>
    <d v="2018-07-25T13:16:52"/>
    <x v="0"/>
    <x v="0"/>
    <s v="NF6635"/>
    <n v="611"/>
    <x v="12"/>
    <n v="2018"/>
    <n v="5"/>
    <n v="2018"/>
    <x v="10"/>
    <x v="1"/>
    <n v="27.486589171661763"/>
  </r>
  <r>
    <d v="2018-07-11T14:55:40"/>
    <d v="2018-05-31T00:00:00"/>
    <d v="2018-07-11T14:55:40"/>
    <x v="0"/>
    <x v="2"/>
    <s v="NF8734"/>
    <n v="3431"/>
    <x v="10"/>
    <n v="2018"/>
    <n v="5"/>
    <n v="2018"/>
    <x v="10"/>
    <x v="1"/>
    <n v="0"/>
  </r>
  <r>
    <d v="2018-06-28T01:37:59"/>
    <d v="2018-06-02T00:00:00"/>
    <d v="2018-06-28T01:37:59"/>
    <x v="0"/>
    <x v="1"/>
    <s v="NF4208"/>
    <n v="3670"/>
    <x v="11"/>
    <n v="2018"/>
    <n v="6"/>
    <n v="2018"/>
    <x v="9"/>
    <x v="1"/>
    <n v="0"/>
  </r>
  <r>
    <d v="2018-06-08T16:00:01"/>
    <d v="2018-06-04T00:00:00"/>
    <d v="2018-06-08T16:00:01"/>
    <x v="0"/>
    <x v="1"/>
    <s v="NF4923"/>
    <n v="4320"/>
    <x v="11"/>
    <n v="2018"/>
    <n v="6"/>
    <n v="2018"/>
    <x v="9"/>
    <x v="1"/>
    <n v="0"/>
  </r>
  <r>
    <d v="2018-07-01T16:18:26"/>
    <d v="2018-06-05T00:00:00"/>
    <d v="2018-07-01T16:18:26"/>
    <x v="0"/>
    <x v="2"/>
    <s v="NF6782"/>
    <n v="1809"/>
    <x v="10"/>
    <n v="2018"/>
    <n v="6"/>
    <n v="2018"/>
    <x v="10"/>
    <x v="1"/>
    <n v="0"/>
  </r>
  <r>
    <d v="2018-07-25T19:28:19"/>
    <d v="2018-06-07T00:00:00"/>
    <d v="2018-07-25T19:28:19"/>
    <x v="0"/>
    <x v="1"/>
    <s v="NF6280"/>
    <n v="667"/>
    <x v="10"/>
    <n v="2018"/>
    <n v="6"/>
    <n v="2018"/>
    <x v="10"/>
    <x v="1"/>
    <n v="0"/>
  </r>
  <r>
    <d v="2018-06-18T19:00:08"/>
    <d v="2018-06-11T00:00:00"/>
    <d v="2018-06-18T19:00:08"/>
    <x v="0"/>
    <x v="4"/>
    <s v="NF7827"/>
    <n v="1613"/>
    <x v="11"/>
    <n v="2018"/>
    <n v="6"/>
    <n v="2018"/>
    <x v="9"/>
    <x v="1"/>
    <n v="0"/>
  </r>
  <r>
    <d v="2018-07-28T05:48:11"/>
    <d v="2018-06-17T00:00:00"/>
    <d v="2018-07-28T05:48:11"/>
    <x v="0"/>
    <x v="0"/>
    <s v="NF5357"/>
    <n v="3756"/>
    <x v="10"/>
    <n v="2018"/>
    <n v="6"/>
    <n v="2018"/>
    <x v="10"/>
    <x v="1"/>
    <n v="0"/>
  </r>
  <r>
    <d v="2018-08-16T00:14:52"/>
    <d v="2018-06-20T00:00:00"/>
    <d v="2018-08-16T00:14:52"/>
    <x v="0"/>
    <x v="2"/>
    <s v="NF8188"/>
    <n v="3672"/>
    <x v="12"/>
    <n v="2018"/>
    <n v="6"/>
    <n v="2018"/>
    <x v="11"/>
    <x v="1"/>
    <n v="0"/>
  </r>
  <r>
    <d v="2018-08-17T02:37:59"/>
    <d v="2018-06-26T00:00:00"/>
    <d v="2018-07-07T00:58:52"/>
    <x v="0"/>
    <x v="1"/>
    <s v="NF4640"/>
    <n v="658"/>
    <x v="12"/>
    <n v="2018"/>
    <n v="6"/>
    <n v="2018"/>
    <x v="10"/>
    <x v="1"/>
    <n v="41.068831210279313"/>
  </r>
  <r>
    <d v="2018-08-24T10:23:22"/>
    <d v="2018-06-29T00:00:00"/>
    <d v="2018-08-24T10:23:22"/>
    <x v="0"/>
    <x v="2"/>
    <s v="NF2293"/>
    <n v="4762"/>
    <x v="12"/>
    <n v="2018"/>
    <n v="6"/>
    <n v="2018"/>
    <x v="11"/>
    <x v="1"/>
    <n v="0"/>
  </r>
  <r>
    <d v="2018-07-09T16:48:23"/>
    <d v="2018-07-02T00:00:00"/>
    <d v="2018-07-09T16:48:23"/>
    <x v="0"/>
    <x v="0"/>
    <s v="NF2933"/>
    <n v="2186"/>
    <x v="10"/>
    <n v="2018"/>
    <n v="7"/>
    <n v="2018"/>
    <x v="10"/>
    <x v="1"/>
    <n v="0"/>
  </r>
  <r>
    <d v="2018-07-24T04:31:40"/>
    <d v="2018-07-03T00:00:00"/>
    <d v="2018-07-24T04:31:40"/>
    <x v="0"/>
    <x v="2"/>
    <s v="NF4384"/>
    <n v="3411"/>
    <x v="10"/>
    <n v="2018"/>
    <n v="7"/>
    <n v="2018"/>
    <x v="10"/>
    <x v="1"/>
    <n v="0"/>
  </r>
  <r>
    <d v="2018-07-24T10:25:52"/>
    <d v="2018-07-08T00:00:00"/>
    <d v="2018-07-24T10:25:52"/>
    <x v="0"/>
    <x v="2"/>
    <s v="NF8316"/>
    <n v="2524"/>
    <x v="10"/>
    <n v="2018"/>
    <n v="7"/>
    <n v="2018"/>
    <x v="10"/>
    <x v="1"/>
    <n v="0"/>
  </r>
  <r>
    <d v="2018-08-01T04:14:27"/>
    <d v="2018-07-10T00:00:00"/>
    <d v="2018-08-01T04:14:27"/>
    <x v="0"/>
    <x v="0"/>
    <s v="NF1506"/>
    <n v="1709"/>
    <x v="12"/>
    <n v="2018"/>
    <n v="7"/>
    <n v="2018"/>
    <x v="11"/>
    <x v="1"/>
    <n v="0"/>
  </r>
  <r>
    <d v="2018-08-28T08:22:59"/>
    <d v="2018-07-15T00:00:00"/>
    <d v="2018-08-28T08:22:59"/>
    <x v="0"/>
    <x v="1"/>
    <s v="NF4913"/>
    <n v="3181"/>
    <x v="12"/>
    <n v="2018"/>
    <n v="7"/>
    <n v="2018"/>
    <x v="11"/>
    <x v="1"/>
    <n v="0"/>
  </r>
  <r>
    <d v="2018-08-09T16:53:42"/>
    <d v="2018-07-16T00:00:00"/>
    <d v="2018-08-09T16:53:42"/>
    <x v="0"/>
    <x v="3"/>
    <s v="NF8526"/>
    <n v="1108"/>
    <x v="12"/>
    <n v="2018"/>
    <n v="7"/>
    <n v="2018"/>
    <x v="11"/>
    <x v="1"/>
    <n v="0"/>
  </r>
  <r>
    <d v="2018-08-18T00:15:22"/>
    <d v="2018-07-17T00:00:00"/>
    <d v="2018-08-18T00:15:22"/>
    <x v="0"/>
    <x v="1"/>
    <s v="NF9873"/>
    <n v="2777"/>
    <x v="12"/>
    <n v="2018"/>
    <n v="7"/>
    <n v="2018"/>
    <x v="11"/>
    <x v="1"/>
    <n v="0"/>
  </r>
  <r>
    <d v="2018-09-14T00:58:53"/>
    <d v="2018-07-19T00:00:00"/>
    <d v="2018-09-14T00:58:53"/>
    <x v="0"/>
    <x v="0"/>
    <s v="NF9870"/>
    <n v="3793"/>
    <x v="1"/>
    <n v="2018"/>
    <n v="7"/>
    <n v="2018"/>
    <x v="1"/>
    <x v="1"/>
    <n v="0"/>
  </r>
  <r>
    <s v=""/>
    <d v="2018-07-21T00:00:00"/>
    <d v="2018-08-12T21:19:56"/>
    <x v="0"/>
    <x v="2"/>
    <s v="NF5563"/>
    <n v="4217"/>
    <x v="2"/>
    <n v="0"/>
    <n v="7"/>
    <n v="2018"/>
    <x v="11"/>
    <x v="1"/>
    <n v="2069.1111562186488"/>
  </r>
  <r>
    <d v="2018-08-30T14:57:50"/>
    <d v="2018-07-28T00:00:00"/>
    <d v="2018-08-30T14:57:50"/>
    <x v="0"/>
    <x v="1"/>
    <s v="NF5510"/>
    <n v="4850"/>
    <x v="12"/>
    <n v="2018"/>
    <n v="7"/>
    <n v="2018"/>
    <x v="11"/>
    <x v="1"/>
    <n v="0"/>
  </r>
  <r>
    <d v="2018-09-11T23:14:03"/>
    <d v="2018-07-30T00:00:00"/>
    <d v="2018-08-19T07:55:56"/>
    <x v="0"/>
    <x v="2"/>
    <s v="NF1440"/>
    <n v="4309"/>
    <x v="1"/>
    <n v="2018"/>
    <n v="7"/>
    <n v="2018"/>
    <x v="11"/>
    <x v="1"/>
    <n v="23.637578560781549"/>
  </r>
  <r>
    <d v="2018-10-01T14:46:44"/>
    <d v="2018-08-01T00:00:00"/>
    <d v="2018-08-02T13:49:34"/>
    <x v="0"/>
    <x v="3"/>
    <s v="NF2709"/>
    <n v="4462"/>
    <x v="0"/>
    <n v="2018"/>
    <n v="8"/>
    <n v="2018"/>
    <x v="11"/>
    <x v="1"/>
    <n v="60.039692208229098"/>
  </r>
  <r>
    <d v="2018-10-02T11:47:41"/>
    <d v="2018-08-07T00:00:00"/>
    <d v="2018-10-02T11:47:41"/>
    <x v="0"/>
    <x v="4"/>
    <s v="NF9886"/>
    <n v="4947"/>
    <x v="0"/>
    <n v="2018"/>
    <n v="8"/>
    <n v="2018"/>
    <x v="0"/>
    <x v="1"/>
    <n v="0"/>
  </r>
  <r>
    <d v="2018-09-25T16:55:00"/>
    <d v="2018-08-10T00:00:00"/>
    <d v="2018-09-25T16:55:00"/>
    <x v="0"/>
    <x v="0"/>
    <s v="NF6993"/>
    <n v="902"/>
    <x v="1"/>
    <n v="2018"/>
    <n v="8"/>
    <n v="2018"/>
    <x v="1"/>
    <x v="1"/>
    <n v="0"/>
  </r>
  <r>
    <d v="2018-09-23T20:55:42"/>
    <d v="2018-08-12T00:00:00"/>
    <d v="2018-09-23T20:55:42"/>
    <x v="0"/>
    <x v="4"/>
    <s v="NF9126"/>
    <n v="432"/>
    <x v="1"/>
    <n v="2018"/>
    <n v="8"/>
    <n v="2018"/>
    <x v="1"/>
    <x v="1"/>
    <n v="0"/>
  </r>
  <r>
    <d v="2018-09-13T22:56:48"/>
    <d v="2018-08-15T00:00:00"/>
    <d v="2018-09-13T22:56:48"/>
    <x v="0"/>
    <x v="2"/>
    <s v="NF3531"/>
    <n v="4084"/>
    <x v="1"/>
    <n v="2018"/>
    <n v="8"/>
    <n v="2018"/>
    <x v="1"/>
    <x v="1"/>
    <n v="0"/>
  </r>
  <r>
    <d v="2018-11-29T00:17:37"/>
    <d v="2018-08-22T00:00:00"/>
    <d v="2018-09-16T00:23:57"/>
    <x v="0"/>
    <x v="1"/>
    <s v="NF6599"/>
    <n v="1054"/>
    <x v="3"/>
    <n v="2018"/>
    <n v="8"/>
    <n v="2018"/>
    <x v="1"/>
    <x v="1"/>
    <n v="73.9955998959922"/>
  </r>
  <r>
    <d v="2018-09-09T01:51:27"/>
    <d v="2018-08-23T00:00:00"/>
    <d v="2018-09-09T01:51:27"/>
    <x v="0"/>
    <x v="4"/>
    <s v="NF9323"/>
    <n v="4608"/>
    <x v="1"/>
    <n v="2018"/>
    <n v="8"/>
    <n v="2018"/>
    <x v="1"/>
    <x v="1"/>
    <n v="0"/>
  </r>
  <r>
    <d v="2018-09-20T03:35:31"/>
    <d v="2018-08-28T00:00:00"/>
    <d v="2018-09-20T03:35:31"/>
    <x v="0"/>
    <x v="0"/>
    <s v="NF3529"/>
    <n v="1238"/>
    <x v="1"/>
    <n v="2018"/>
    <n v="8"/>
    <n v="2018"/>
    <x v="1"/>
    <x v="1"/>
    <n v="0"/>
  </r>
  <r>
    <d v="2018-09-27T17:31:08"/>
    <d v="2018-09-03T00:00:00"/>
    <d v="2018-09-27T17:31:08"/>
    <x v="0"/>
    <x v="1"/>
    <s v="NF5824"/>
    <n v="1342"/>
    <x v="1"/>
    <n v="2018"/>
    <n v="9"/>
    <n v="2018"/>
    <x v="1"/>
    <x v="1"/>
    <n v="0"/>
  </r>
  <r>
    <d v="2018-12-04T20:10:31"/>
    <d v="2018-09-07T00:00:00"/>
    <d v="2018-10-29T18:42:30"/>
    <x v="0"/>
    <x v="4"/>
    <s v="NF3860"/>
    <n v="2936"/>
    <x v="6"/>
    <n v="2018"/>
    <n v="9"/>
    <n v="2018"/>
    <x v="0"/>
    <x v="1"/>
    <n v="36.061121181221097"/>
  </r>
  <r>
    <d v="2018-10-08T03:24:37"/>
    <d v="2018-09-08T00:00:00"/>
    <d v="2018-10-08T03:24:37"/>
    <x v="0"/>
    <x v="1"/>
    <s v="NF7260"/>
    <n v="875"/>
    <x v="0"/>
    <n v="2018"/>
    <n v="9"/>
    <n v="2018"/>
    <x v="0"/>
    <x v="1"/>
    <n v="0"/>
  </r>
  <r>
    <d v="2018-09-12T00:31:15"/>
    <d v="2018-09-10T00:00:00"/>
    <d v="2018-09-12T00:31:15"/>
    <x v="0"/>
    <x v="3"/>
    <s v="NF2238"/>
    <n v="159"/>
    <x v="1"/>
    <n v="2018"/>
    <n v="9"/>
    <n v="2018"/>
    <x v="1"/>
    <x v="1"/>
    <n v="0"/>
  </r>
  <r>
    <d v="2018-10-09T15:23:27"/>
    <d v="2018-09-15T00:00:00"/>
    <d v="2018-10-09T15:23:27"/>
    <x v="0"/>
    <x v="1"/>
    <s v="NF7342"/>
    <n v="2933"/>
    <x v="0"/>
    <n v="2018"/>
    <n v="9"/>
    <n v="2018"/>
    <x v="0"/>
    <x v="1"/>
    <n v="0"/>
  </r>
  <r>
    <d v="2018-11-01T03:06:41"/>
    <d v="2018-09-15T00:00:00"/>
    <d v="2018-11-01T03:06:41"/>
    <x v="0"/>
    <x v="1"/>
    <s v="NF8517"/>
    <n v="4944"/>
    <x v="3"/>
    <n v="2018"/>
    <n v="9"/>
    <n v="2018"/>
    <x v="2"/>
    <x v="1"/>
    <n v="0"/>
  </r>
  <r>
    <d v="2018-10-04T15:50:23"/>
    <d v="2018-09-19T00:00:00"/>
    <d v="2018-10-04T15:50:23"/>
    <x v="0"/>
    <x v="0"/>
    <s v="NF9366"/>
    <n v="4173"/>
    <x v="0"/>
    <n v="2018"/>
    <n v="9"/>
    <n v="2018"/>
    <x v="0"/>
    <x v="1"/>
    <n v="0"/>
  </r>
  <r>
    <d v="2018-10-02T04:27:54"/>
    <d v="2018-09-24T00:00:00"/>
    <d v="2018-10-02T04:27:54"/>
    <x v="0"/>
    <x v="4"/>
    <s v="NF4973"/>
    <n v="2065"/>
    <x v="0"/>
    <n v="2018"/>
    <n v="9"/>
    <n v="2018"/>
    <x v="0"/>
    <x v="1"/>
    <n v="0"/>
  </r>
  <r>
    <d v="2018-11-18T11:16:55"/>
    <d v="2018-09-28T00:00:00"/>
    <d v="2018-11-18T11:16:55"/>
    <x v="0"/>
    <x v="2"/>
    <s v="NF1111"/>
    <n v="521"/>
    <x v="3"/>
    <n v="2018"/>
    <n v="9"/>
    <n v="2018"/>
    <x v="2"/>
    <x v="1"/>
    <n v="0"/>
  </r>
  <r>
    <d v="2018-11-13T19:50:37"/>
    <d v="2018-10-01T00:00:00"/>
    <d v="2018-11-13T19:50:37"/>
    <x v="0"/>
    <x v="2"/>
    <s v="NF8344"/>
    <n v="819"/>
    <x v="3"/>
    <n v="2018"/>
    <n v="10"/>
    <n v="2018"/>
    <x v="2"/>
    <x v="1"/>
    <n v="0"/>
  </r>
  <r>
    <d v="2018-11-29T03:48:33"/>
    <d v="2018-10-04T00:00:00"/>
    <d v="2018-11-29T03:48:33"/>
    <x v="0"/>
    <x v="0"/>
    <s v="NF8750"/>
    <n v="1260"/>
    <x v="3"/>
    <n v="2018"/>
    <n v="10"/>
    <n v="2018"/>
    <x v="2"/>
    <x v="1"/>
    <n v="0"/>
  </r>
  <r>
    <d v="2018-10-16T21:21:41"/>
    <d v="2018-10-10T00:00:00"/>
    <d v="2018-10-16T21:21:41"/>
    <x v="0"/>
    <x v="4"/>
    <s v="NF7616"/>
    <n v="2998"/>
    <x v="0"/>
    <n v="2018"/>
    <n v="10"/>
    <n v="2018"/>
    <x v="0"/>
    <x v="1"/>
    <n v="0"/>
  </r>
  <r>
    <d v="2018-10-31T01:07:14"/>
    <d v="2018-10-12T00:00:00"/>
    <d v="2018-10-31T01:07:14"/>
    <x v="0"/>
    <x v="4"/>
    <s v="NF3536"/>
    <n v="4287"/>
    <x v="0"/>
    <n v="2018"/>
    <n v="10"/>
    <n v="2018"/>
    <x v="0"/>
    <x v="1"/>
    <n v="0"/>
  </r>
  <r>
    <d v="2019-02-11T18:08:36"/>
    <d v="2018-10-14T00:00:00"/>
    <d v="2018-11-24T03:33:56"/>
    <x v="0"/>
    <x v="3"/>
    <s v="NF9376"/>
    <n v="2015"/>
    <x v="5"/>
    <n v="2019"/>
    <n v="10"/>
    <n v="2018"/>
    <x v="2"/>
    <x v="1"/>
    <n v="79.607408259435033"/>
  </r>
  <r>
    <d v="2018-12-15T05:05:06"/>
    <d v="2018-10-20T00:00:00"/>
    <d v="2018-12-15T05:05:06"/>
    <x v="0"/>
    <x v="3"/>
    <s v="NF1222"/>
    <n v="3369"/>
    <x v="6"/>
    <n v="2018"/>
    <n v="10"/>
    <n v="2018"/>
    <x v="3"/>
    <x v="1"/>
    <n v="0"/>
  </r>
  <r>
    <d v="2018-10-31T19:28:19"/>
    <d v="2018-10-21T00:00:00"/>
    <d v="2018-10-31T19:28:19"/>
    <x v="0"/>
    <x v="1"/>
    <s v="NF3914"/>
    <n v="4851"/>
    <x v="0"/>
    <n v="2018"/>
    <n v="10"/>
    <n v="2018"/>
    <x v="0"/>
    <x v="1"/>
    <n v="0"/>
  </r>
  <r>
    <d v="2018-12-22T00:45:32"/>
    <d v="2018-10-25T00:00:00"/>
    <d v="2018-12-15T00:19:24"/>
    <x v="0"/>
    <x v="1"/>
    <s v="NF7447"/>
    <n v="2178"/>
    <x v="6"/>
    <n v="2018"/>
    <n v="10"/>
    <n v="2018"/>
    <x v="3"/>
    <x v="1"/>
    <n v="7.0181459510931745"/>
  </r>
  <r>
    <d v="2018-11-20T01:29:21"/>
    <d v="2018-10-27T00:00:00"/>
    <d v="2018-11-20T01:29:21"/>
    <x v="0"/>
    <x v="3"/>
    <s v="NF5088"/>
    <n v="4052"/>
    <x v="3"/>
    <n v="2018"/>
    <n v="10"/>
    <n v="2018"/>
    <x v="2"/>
    <x v="1"/>
    <n v="0"/>
  </r>
  <r>
    <d v="2018-11-16T14:05:40"/>
    <d v="2018-10-30T00:00:00"/>
    <d v="2018-11-16T14:05:40"/>
    <x v="0"/>
    <x v="4"/>
    <s v="NF7858"/>
    <n v="2864"/>
    <x v="3"/>
    <n v="2018"/>
    <n v="10"/>
    <n v="2018"/>
    <x v="2"/>
    <x v="1"/>
    <n v="0"/>
  </r>
  <r>
    <d v="2018-12-27T21:24:18"/>
    <d v="2018-11-01T00:00:00"/>
    <d v="2018-12-27T21:24:18"/>
    <x v="0"/>
    <x v="1"/>
    <s v="NF7692"/>
    <n v="2425"/>
    <x v="6"/>
    <n v="2018"/>
    <n v="11"/>
    <n v="2018"/>
    <x v="3"/>
    <x v="1"/>
    <n v="0"/>
  </r>
  <r>
    <d v="2019-01-26T03:09:35"/>
    <d v="2018-11-03T00:00:00"/>
    <d v="2019-01-01T13:15:07"/>
    <x v="0"/>
    <x v="4"/>
    <s v="NF7390"/>
    <n v="1542"/>
    <x v="4"/>
    <n v="2019"/>
    <n v="11"/>
    <n v="2018"/>
    <x v="4"/>
    <x v="2"/>
    <n v="24.579489612937323"/>
  </r>
  <r>
    <d v="2018-12-12T17:38:41"/>
    <d v="2018-11-08T00:00:00"/>
    <d v="2018-12-12T17:38:41"/>
    <x v="0"/>
    <x v="1"/>
    <s v="NF6262"/>
    <n v="1736"/>
    <x v="6"/>
    <n v="2018"/>
    <n v="11"/>
    <n v="2018"/>
    <x v="3"/>
    <x v="1"/>
    <n v="0"/>
  </r>
  <r>
    <d v="2019-01-09T16:18:40"/>
    <d v="2018-11-11T00:00:00"/>
    <d v="2019-01-09T16:18:40"/>
    <x v="0"/>
    <x v="2"/>
    <s v="NF9573"/>
    <n v="1628"/>
    <x v="4"/>
    <n v="2019"/>
    <n v="11"/>
    <n v="2018"/>
    <x v="4"/>
    <x v="2"/>
    <n v="0"/>
  </r>
  <r>
    <d v="2018-11-16T02:35:10"/>
    <d v="2018-11-13T00:00:00"/>
    <d v="2018-11-16T02:35:10"/>
    <x v="0"/>
    <x v="1"/>
    <s v="NF8087"/>
    <n v="3853"/>
    <x v="3"/>
    <n v="2018"/>
    <n v="11"/>
    <n v="2018"/>
    <x v="2"/>
    <x v="1"/>
    <n v="0"/>
  </r>
  <r>
    <d v="2018-12-17T04:53:47"/>
    <d v="2018-11-17T00:00:00"/>
    <d v="2018-12-17T04:53:47"/>
    <x v="0"/>
    <x v="2"/>
    <s v="NF5909"/>
    <n v="883"/>
    <x v="6"/>
    <n v="2018"/>
    <n v="11"/>
    <n v="2018"/>
    <x v="3"/>
    <x v="1"/>
    <n v="0"/>
  </r>
  <r>
    <d v="2018-12-07T18:17:32"/>
    <d v="2018-11-17T00:00:00"/>
    <d v="2018-12-07T18:17:32"/>
    <x v="0"/>
    <x v="1"/>
    <s v="NF4172"/>
    <n v="976"/>
    <x v="6"/>
    <n v="2018"/>
    <n v="11"/>
    <n v="2018"/>
    <x v="3"/>
    <x v="1"/>
    <n v="0"/>
  </r>
  <r>
    <d v="2018-12-31T22:37:03"/>
    <d v="2018-11-20T00:00:00"/>
    <d v="2018-12-31T22:37:03"/>
    <x v="0"/>
    <x v="2"/>
    <s v="NF8957"/>
    <n v="2663"/>
    <x v="6"/>
    <n v="2018"/>
    <n v="11"/>
    <n v="2018"/>
    <x v="3"/>
    <x v="1"/>
    <n v="0"/>
  </r>
  <r>
    <d v="2018-11-26T22:53:14"/>
    <d v="2018-11-26T00:00:00"/>
    <d v="2018-11-26T22:53:14"/>
    <x v="0"/>
    <x v="1"/>
    <s v="NF2981"/>
    <n v="4888"/>
    <x v="3"/>
    <n v="2018"/>
    <n v="11"/>
    <n v="2018"/>
    <x v="2"/>
    <x v="1"/>
    <n v="0"/>
  </r>
  <r>
    <d v="2019-02-21T18:19:59"/>
    <d v="2018-11-29T00:00:00"/>
    <d v="2019-01-13T19:18:14"/>
    <x v="0"/>
    <x v="2"/>
    <s v="NF5104"/>
    <n v="2030"/>
    <x v="5"/>
    <n v="2019"/>
    <n v="11"/>
    <n v="2018"/>
    <x v="4"/>
    <x v="2"/>
    <n v="38.95954425088712"/>
  </r>
  <r>
    <s v=""/>
    <d v="2018-12-02T00:00:00"/>
    <d v="2019-01-20T19:42:08"/>
    <x v="0"/>
    <x v="1"/>
    <s v="NF3942"/>
    <n v="2117"/>
    <x v="2"/>
    <n v="0"/>
    <n v="12"/>
    <n v="2018"/>
    <x v="4"/>
    <x v="2"/>
    <n v="1908.1790700297788"/>
  </r>
  <r>
    <d v="2019-04-21T08:25:53"/>
    <d v="2018-12-04T00:00:00"/>
    <d v="2019-01-29T18:00:06"/>
    <x v="0"/>
    <x v="1"/>
    <s v="NF6376"/>
    <n v="1236"/>
    <x v="9"/>
    <n v="2019"/>
    <n v="12"/>
    <n v="2018"/>
    <x v="4"/>
    <x v="2"/>
    <n v="81.601238821815059"/>
  </r>
  <r>
    <d v="2018-12-31T17:55:32"/>
    <d v="2018-12-09T00:00:00"/>
    <d v="2018-12-31T17:55:32"/>
    <x v="0"/>
    <x v="1"/>
    <s v="NF7518"/>
    <n v="426"/>
    <x v="6"/>
    <n v="2018"/>
    <n v="12"/>
    <n v="2018"/>
    <x v="3"/>
    <x v="1"/>
    <n v="0"/>
  </r>
  <r>
    <d v="2018-12-31T02:34:29"/>
    <d v="2018-12-10T00:00:00"/>
    <d v="2018-12-24T03:51:14"/>
    <x v="0"/>
    <x v="4"/>
    <s v="NF5359"/>
    <n v="3956"/>
    <x v="6"/>
    <n v="2018"/>
    <n v="12"/>
    <n v="2018"/>
    <x v="3"/>
    <x v="1"/>
    <n v="6.9467066987926955"/>
  </r>
  <r>
    <s v=""/>
    <d v="2018-12-14T00:00:00"/>
    <d v="2019-01-15T17:55:39"/>
    <x v="0"/>
    <x v="1"/>
    <s v="NF5153"/>
    <n v="3042"/>
    <x v="2"/>
    <n v="0"/>
    <n v="12"/>
    <n v="2018"/>
    <x v="4"/>
    <x v="2"/>
    <n v="1913.2530222151472"/>
  </r>
  <r>
    <d v="2019-02-10T06:21:01"/>
    <d v="2018-12-15T00:00:00"/>
    <d v="2019-01-24T08:03:45"/>
    <x v="0"/>
    <x v="1"/>
    <s v="NF3127"/>
    <n v="1434"/>
    <x v="5"/>
    <n v="2019"/>
    <n v="12"/>
    <n v="2018"/>
    <x v="4"/>
    <x v="2"/>
    <n v="16.928659294382669"/>
  </r>
  <r>
    <d v="2019-01-22T04:31:20"/>
    <d v="2018-12-18T00:00:00"/>
    <d v="2019-01-22T04:31:20"/>
    <x v="0"/>
    <x v="0"/>
    <s v="NF7641"/>
    <n v="1782"/>
    <x v="4"/>
    <n v="2019"/>
    <n v="12"/>
    <n v="2018"/>
    <x v="4"/>
    <x v="2"/>
    <n v="0"/>
  </r>
  <r>
    <d v="2019-02-18T09:40:35"/>
    <d v="2018-12-25T00:00:00"/>
    <d v="2019-02-18T09:40:35"/>
    <x v="0"/>
    <x v="1"/>
    <s v="NF2758"/>
    <n v="365"/>
    <x v="5"/>
    <n v="2019"/>
    <n v="12"/>
    <n v="2018"/>
    <x v="5"/>
    <x v="2"/>
    <n v="0"/>
  </r>
  <r>
    <d v="2019-01-26T16:18:05"/>
    <d v="2018-12-27T00:00:00"/>
    <d v="2019-01-26T16:18:05"/>
    <x v="0"/>
    <x v="1"/>
    <s v="NF9279"/>
    <n v="2757"/>
    <x v="4"/>
    <n v="2019"/>
    <n v="12"/>
    <n v="2018"/>
    <x v="4"/>
    <x v="2"/>
    <n v="0"/>
  </r>
  <r>
    <d v="2019-02-19T04:57:57"/>
    <d v="2018-12-30T00:00:00"/>
    <d v="2019-02-19T04:57:57"/>
    <x v="0"/>
    <x v="0"/>
    <s v="NF2386"/>
    <n v="2112"/>
    <x v="5"/>
    <n v="2019"/>
    <n v="12"/>
    <n v="2018"/>
    <x v="5"/>
    <x v="2"/>
    <n v="0"/>
  </r>
  <r>
    <d v="2019-04-18T04:58:30"/>
    <d v="2019-01-02T00:00:00"/>
    <d v="2019-01-18T13:55:07"/>
    <x v="0"/>
    <x v="0"/>
    <s v="NF6751"/>
    <n v="2190"/>
    <x v="9"/>
    <n v="2019"/>
    <n v="1"/>
    <n v="2019"/>
    <x v="4"/>
    <x v="2"/>
    <n v="89.627354713862587"/>
  </r>
  <r>
    <d v="2019-01-20T15:24:57"/>
    <d v="2019-01-04T00:00:00"/>
    <d v="2019-01-20T15:24:57"/>
    <x v="0"/>
    <x v="1"/>
    <s v="NF9460"/>
    <n v="2998"/>
    <x v="4"/>
    <n v="2019"/>
    <n v="1"/>
    <n v="2019"/>
    <x v="4"/>
    <x v="2"/>
    <n v="0"/>
  </r>
  <r>
    <d v="2019-02-05T00:47:03"/>
    <d v="2019-01-11T00:00:00"/>
    <d v="2019-02-05T00:47:03"/>
    <x v="0"/>
    <x v="1"/>
    <s v="NF5556"/>
    <n v="3808"/>
    <x v="5"/>
    <n v="2019"/>
    <n v="1"/>
    <n v="2019"/>
    <x v="5"/>
    <x v="2"/>
    <n v="0"/>
  </r>
  <r>
    <d v="2019-01-30T11:29:38"/>
    <d v="2019-01-14T00:00:00"/>
    <d v="2019-01-30T11:29:38"/>
    <x v="0"/>
    <x v="1"/>
    <s v="NF4918"/>
    <n v="4928"/>
    <x v="4"/>
    <n v="2019"/>
    <n v="1"/>
    <n v="2019"/>
    <x v="4"/>
    <x v="2"/>
    <n v="0"/>
  </r>
  <r>
    <d v="2019-03-12T00:36:53"/>
    <d v="2019-01-17T00:00:00"/>
    <d v="2019-03-12T00:36:53"/>
    <x v="0"/>
    <x v="0"/>
    <s v="NF1763"/>
    <n v="4179"/>
    <x v="7"/>
    <n v="2019"/>
    <n v="1"/>
    <n v="2019"/>
    <x v="6"/>
    <x v="2"/>
    <n v="0"/>
  </r>
  <r>
    <d v="2019-02-03T23:50:40"/>
    <d v="2019-01-19T00:00:00"/>
    <d v="2019-02-03T23:50:40"/>
    <x v="0"/>
    <x v="4"/>
    <s v="NF2024"/>
    <n v="4896"/>
    <x v="5"/>
    <n v="2019"/>
    <n v="1"/>
    <n v="2019"/>
    <x v="5"/>
    <x v="2"/>
    <n v="0"/>
  </r>
  <r>
    <d v="2019-02-02T03:08:46"/>
    <d v="2019-01-22T00:00:00"/>
    <d v="2019-02-02T03:08:46"/>
    <x v="0"/>
    <x v="0"/>
    <s v="NF8079"/>
    <n v="4092"/>
    <x v="5"/>
    <n v="2019"/>
    <n v="1"/>
    <n v="2019"/>
    <x v="5"/>
    <x v="2"/>
    <n v="0"/>
  </r>
  <r>
    <d v="2019-01-31T22:24:29"/>
    <d v="2019-01-27T00:00:00"/>
    <d v="2019-01-31T22:24:29"/>
    <x v="0"/>
    <x v="1"/>
    <s v="NF6383"/>
    <n v="2956"/>
    <x v="4"/>
    <n v="2019"/>
    <n v="1"/>
    <n v="2019"/>
    <x v="4"/>
    <x v="2"/>
    <n v="0"/>
  </r>
  <r>
    <d v="2019-02-13T18:40:14"/>
    <d v="2019-01-31T00:00:00"/>
    <d v="2019-02-13T18:40:14"/>
    <x v="0"/>
    <x v="0"/>
    <s v="NF3919"/>
    <n v="533"/>
    <x v="5"/>
    <n v="2019"/>
    <n v="1"/>
    <n v="2019"/>
    <x v="5"/>
    <x v="2"/>
    <n v="0"/>
  </r>
  <r>
    <d v="2019-02-24T17:32:07"/>
    <d v="2019-02-01T00:00:00"/>
    <d v="2019-02-24T17:32:07"/>
    <x v="0"/>
    <x v="2"/>
    <s v="NF1390"/>
    <n v="3519"/>
    <x v="5"/>
    <n v="2019"/>
    <n v="2"/>
    <n v="2019"/>
    <x v="5"/>
    <x v="2"/>
    <n v="0"/>
  </r>
  <r>
    <d v="2019-03-24T18:54:41"/>
    <d v="2019-02-03T00:00:00"/>
    <d v="2019-03-24T18:54:41"/>
    <x v="0"/>
    <x v="4"/>
    <s v="NF2500"/>
    <n v="757"/>
    <x v="7"/>
    <n v="2019"/>
    <n v="2"/>
    <n v="2019"/>
    <x v="6"/>
    <x v="2"/>
    <n v="0"/>
  </r>
  <r>
    <d v="2019-03-28T05:56:28"/>
    <d v="2019-02-07T00:00:00"/>
    <d v="2019-03-28T05:56:28"/>
    <x v="0"/>
    <x v="1"/>
    <s v="NF2427"/>
    <n v="2688"/>
    <x v="7"/>
    <n v="2019"/>
    <n v="2"/>
    <n v="2019"/>
    <x v="6"/>
    <x v="2"/>
    <n v="0"/>
  </r>
  <r>
    <d v="2019-03-30T10:37:26"/>
    <d v="2019-02-09T00:00:00"/>
    <d v="2019-03-30T10:37:26"/>
    <x v="0"/>
    <x v="3"/>
    <s v="NF4680"/>
    <n v="340"/>
    <x v="7"/>
    <n v="2019"/>
    <n v="2"/>
    <n v="2019"/>
    <x v="6"/>
    <x v="2"/>
    <n v="0"/>
  </r>
  <r>
    <d v="2019-02-12T14:13:18"/>
    <d v="2019-02-10T00:00:00"/>
    <d v="2019-02-12T14:13:18"/>
    <x v="0"/>
    <x v="3"/>
    <s v="NF7019"/>
    <n v="4204"/>
    <x v="5"/>
    <n v="2019"/>
    <n v="2"/>
    <n v="2019"/>
    <x v="5"/>
    <x v="2"/>
    <n v="0"/>
  </r>
  <r>
    <d v="2019-03-31T06:50:37"/>
    <d v="2019-02-12T00:00:00"/>
    <d v="2019-03-31T06:50:37"/>
    <x v="0"/>
    <x v="2"/>
    <s v="NF4961"/>
    <n v="3695"/>
    <x v="7"/>
    <n v="2019"/>
    <n v="2"/>
    <n v="2019"/>
    <x v="6"/>
    <x v="2"/>
    <n v="0"/>
  </r>
  <r>
    <d v="2019-06-03T21:03:17"/>
    <d v="2019-02-21T00:00:00"/>
    <d v="2019-03-24T00:09:11"/>
    <x v="0"/>
    <x v="0"/>
    <s v="NF4608"/>
    <n v="4148"/>
    <x v="11"/>
    <n v="2019"/>
    <n v="2"/>
    <n v="2019"/>
    <x v="6"/>
    <x v="2"/>
    <n v="71.870903102673765"/>
  </r>
  <r>
    <d v="2019-04-11T11:34:45"/>
    <d v="2019-02-25T00:00:00"/>
    <d v="2019-03-29T22:04:56"/>
    <x v="0"/>
    <x v="1"/>
    <s v="NF1913"/>
    <n v="4303"/>
    <x v="9"/>
    <n v="2019"/>
    <n v="2"/>
    <n v="2019"/>
    <x v="6"/>
    <x v="2"/>
    <n v="12.562376887341088"/>
  </r>
  <r>
    <d v="2019-03-07T17:42:59"/>
    <d v="2019-02-27T00:00:00"/>
    <d v="2019-03-07T17:42:59"/>
    <x v="0"/>
    <x v="3"/>
    <s v="NF5844"/>
    <n v="2674"/>
    <x v="7"/>
    <n v="2019"/>
    <n v="2"/>
    <n v="2019"/>
    <x v="6"/>
    <x v="2"/>
    <n v="0"/>
  </r>
  <r>
    <d v="2019-04-14T20:03:15"/>
    <d v="2019-03-02T00:00:00"/>
    <d v="2019-04-14T20:03:15"/>
    <x v="0"/>
    <x v="4"/>
    <s v="NF7813"/>
    <n v="1720"/>
    <x v="9"/>
    <n v="2019"/>
    <n v="3"/>
    <n v="2019"/>
    <x v="7"/>
    <x v="2"/>
    <n v="0"/>
  </r>
  <r>
    <d v="2019-04-12T18:11:29"/>
    <d v="2019-03-06T00:00:00"/>
    <d v="2019-04-12T18:11:29"/>
    <x v="0"/>
    <x v="4"/>
    <s v="NF6780"/>
    <n v="1854"/>
    <x v="9"/>
    <n v="2019"/>
    <n v="3"/>
    <n v="2019"/>
    <x v="7"/>
    <x v="2"/>
    <n v="0"/>
  </r>
  <r>
    <d v="2019-03-11T01:54:11"/>
    <d v="2019-03-08T00:00:00"/>
    <d v="2019-03-11T01:54:11"/>
    <x v="0"/>
    <x v="1"/>
    <s v="NF9599"/>
    <n v="2568"/>
    <x v="7"/>
    <n v="2019"/>
    <n v="3"/>
    <n v="2019"/>
    <x v="6"/>
    <x v="2"/>
    <n v="0"/>
  </r>
  <r>
    <d v="2019-04-17T14:18:26"/>
    <d v="2019-03-08T00:00:00"/>
    <d v="2019-04-17T14:18:26"/>
    <x v="0"/>
    <x v="1"/>
    <s v="NF8659"/>
    <n v="3690"/>
    <x v="9"/>
    <n v="2019"/>
    <n v="3"/>
    <n v="2019"/>
    <x v="7"/>
    <x v="2"/>
    <n v="0"/>
  </r>
  <r>
    <d v="2019-06-05T12:21:59"/>
    <d v="2019-03-10T00:00:00"/>
    <d v="2019-04-15T12:56:12"/>
    <x v="0"/>
    <x v="0"/>
    <s v="NF4652"/>
    <n v="3746"/>
    <x v="11"/>
    <n v="2019"/>
    <n v="3"/>
    <n v="2019"/>
    <x v="7"/>
    <x v="2"/>
    <n v="50.976243909935874"/>
  </r>
  <r>
    <d v="2019-04-16T17:46:42"/>
    <d v="2019-03-12T00:00:00"/>
    <d v="2019-04-16T17:46:42"/>
    <x v="0"/>
    <x v="4"/>
    <s v="NF3068"/>
    <n v="4360"/>
    <x v="9"/>
    <n v="2019"/>
    <n v="3"/>
    <n v="2019"/>
    <x v="7"/>
    <x v="2"/>
    <n v="0"/>
  </r>
  <r>
    <s v=""/>
    <d v="2019-03-13T00:00:00"/>
    <d v="2019-04-21T09:02:46"/>
    <x v="0"/>
    <x v="0"/>
    <s v="NF7141"/>
    <n v="1753"/>
    <x v="2"/>
    <n v="0"/>
    <n v="3"/>
    <n v="2019"/>
    <x v="7"/>
    <x v="2"/>
    <n v="1817.6230751911935"/>
  </r>
  <r>
    <d v="2019-03-19T15:46:35"/>
    <d v="2019-03-16T00:00:00"/>
    <d v="2019-03-19T15:46:35"/>
    <x v="0"/>
    <x v="4"/>
    <s v="NF3366"/>
    <n v="1421"/>
    <x v="7"/>
    <n v="2019"/>
    <n v="3"/>
    <n v="2019"/>
    <x v="6"/>
    <x v="2"/>
    <n v="0"/>
  </r>
  <r>
    <d v="2019-04-11T07:59:33"/>
    <d v="2019-03-19T00:00:00"/>
    <d v="2019-04-11T07:59:33"/>
    <x v="0"/>
    <x v="0"/>
    <s v="NF8853"/>
    <n v="3565"/>
    <x v="9"/>
    <n v="2019"/>
    <n v="3"/>
    <n v="2019"/>
    <x v="7"/>
    <x v="2"/>
    <n v="0"/>
  </r>
  <r>
    <d v="2019-07-17T09:11:04"/>
    <d v="2019-03-22T00:00:00"/>
    <d v="2019-05-01T11:33:58"/>
    <x v="0"/>
    <x v="1"/>
    <s v="NF7681"/>
    <n v="1961"/>
    <x v="10"/>
    <n v="2019"/>
    <n v="3"/>
    <n v="2019"/>
    <x v="8"/>
    <x v="2"/>
    <n v="76.900761643715668"/>
  </r>
  <r>
    <d v="2019-04-15T02:20:04"/>
    <d v="2019-03-27T00:00:00"/>
    <d v="2019-04-02T02:00:21"/>
    <x v="0"/>
    <x v="3"/>
    <s v="NF1441"/>
    <n v="4854"/>
    <x v="9"/>
    <n v="2019"/>
    <n v="3"/>
    <n v="2019"/>
    <x v="7"/>
    <x v="2"/>
    <n v="13.01368457609351"/>
  </r>
  <r>
    <d v="2019-04-23T17:40:18"/>
    <d v="2019-04-02T00:00:00"/>
    <d v="2019-04-23T17:40:18"/>
    <x v="0"/>
    <x v="4"/>
    <s v="NF9964"/>
    <n v="3453"/>
    <x v="9"/>
    <n v="2019"/>
    <n v="4"/>
    <n v="2019"/>
    <x v="7"/>
    <x v="2"/>
    <n v="0"/>
  </r>
  <r>
    <d v="2019-04-20T02:38:51"/>
    <d v="2019-04-03T00:00:00"/>
    <d v="2019-04-05T19:38:36"/>
    <x v="0"/>
    <x v="1"/>
    <s v="NF9101"/>
    <n v="3341"/>
    <x v="9"/>
    <n v="2019"/>
    <n v="4"/>
    <n v="2019"/>
    <x v="7"/>
    <x v="2"/>
    <n v="14.291841027115879"/>
  </r>
  <r>
    <d v="2019-05-20T20:46:13"/>
    <d v="2019-04-06T00:00:00"/>
    <d v="2019-05-20T20:46:13"/>
    <x v="0"/>
    <x v="3"/>
    <s v="NF3185"/>
    <n v="2707"/>
    <x v="8"/>
    <n v="2019"/>
    <n v="4"/>
    <n v="2019"/>
    <x v="8"/>
    <x v="2"/>
    <n v="0"/>
  </r>
  <r>
    <d v="2019-05-18T16:24:37"/>
    <d v="2019-04-08T00:00:00"/>
    <d v="2019-05-18T16:24:37"/>
    <x v="0"/>
    <x v="1"/>
    <s v="NF2836"/>
    <n v="1582"/>
    <x v="8"/>
    <n v="2019"/>
    <n v="4"/>
    <n v="2019"/>
    <x v="8"/>
    <x v="2"/>
    <n v="0"/>
  </r>
  <r>
    <d v="2019-05-14T12:12:29"/>
    <d v="2019-04-10T00:00:00"/>
    <d v="2019-05-14T12:12:29"/>
    <x v="0"/>
    <x v="1"/>
    <s v="NF7779"/>
    <n v="3889"/>
    <x v="8"/>
    <n v="2019"/>
    <n v="4"/>
    <n v="2019"/>
    <x v="8"/>
    <x v="2"/>
    <n v="0"/>
  </r>
  <r>
    <d v="2019-04-29T13:39:41"/>
    <d v="2019-04-14T00:00:00"/>
    <d v="2019-04-29T13:39:41"/>
    <x v="0"/>
    <x v="1"/>
    <s v="NF5919"/>
    <n v="2303"/>
    <x v="9"/>
    <n v="2019"/>
    <n v="4"/>
    <n v="2019"/>
    <x v="7"/>
    <x v="2"/>
    <n v="0"/>
  </r>
  <r>
    <d v="2019-05-19T15:44:01"/>
    <d v="2019-04-17T00:00:00"/>
    <d v="2019-05-19T15:44:01"/>
    <x v="0"/>
    <x v="2"/>
    <s v="NF1620"/>
    <n v="802"/>
    <x v="8"/>
    <n v="2019"/>
    <n v="4"/>
    <n v="2019"/>
    <x v="8"/>
    <x v="2"/>
    <n v="0"/>
  </r>
  <r>
    <d v="2019-05-04T05:35:47"/>
    <d v="2019-04-19T00:00:00"/>
    <d v="2019-05-04T05:35:47"/>
    <x v="0"/>
    <x v="1"/>
    <s v="NF3801"/>
    <n v="4513"/>
    <x v="8"/>
    <n v="2019"/>
    <n v="4"/>
    <n v="2019"/>
    <x v="8"/>
    <x v="2"/>
    <n v="0"/>
  </r>
  <r>
    <d v="2019-05-01T20:46:57"/>
    <d v="2019-04-21T00:00:00"/>
    <d v="2019-05-01T20:46:57"/>
    <x v="0"/>
    <x v="1"/>
    <s v="NF8086"/>
    <n v="3908"/>
    <x v="8"/>
    <n v="2019"/>
    <n v="4"/>
    <n v="2019"/>
    <x v="8"/>
    <x v="2"/>
    <n v="0"/>
  </r>
  <r>
    <d v="2019-06-25T21:22:36"/>
    <d v="2019-04-25T00:00:00"/>
    <d v="2019-06-19T00:39:03"/>
    <x v="0"/>
    <x v="1"/>
    <s v="NF4964"/>
    <n v="156"/>
    <x v="11"/>
    <n v="2019"/>
    <n v="4"/>
    <n v="2019"/>
    <x v="9"/>
    <x v="2"/>
    <n v="6.8635805509547936"/>
  </r>
  <r>
    <d v="2019-06-06T02:43:25"/>
    <d v="2019-04-27T00:00:00"/>
    <d v="2019-06-06T02:43:25"/>
    <x v="0"/>
    <x v="2"/>
    <s v="NF6112"/>
    <n v="457"/>
    <x v="11"/>
    <n v="2019"/>
    <n v="4"/>
    <n v="2019"/>
    <x v="9"/>
    <x v="2"/>
    <n v="0"/>
  </r>
  <r>
    <d v="2019-06-08T00:38:19"/>
    <d v="2019-05-03T00:00:00"/>
    <d v="2019-06-08T00:38:19"/>
    <x v="0"/>
    <x v="1"/>
    <s v="NF2333"/>
    <n v="3536"/>
    <x v="11"/>
    <n v="2019"/>
    <n v="5"/>
    <n v="2019"/>
    <x v="9"/>
    <x v="2"/>
    <n v="0"/>
  </r>
  <r>
    <d v="2019-05-10T16:48:12"/>
    <d v="2019-05-05T00:00:00"/>
    <d v="2019-05-10T16:48:12"/>
    <x v="0"/>
    <x v="1"/>
    <s v="NF7121"/>
    <n v="1809"/>
    <x v="8"/>
    <n v="2019"/>
    <n v="5"/>
    <n v="2019"/>
    <x v="8"/>
    <x v="2"/>
    <n v="0"/>
  </r>
  <r>
    <d v="2019-05-28T17:06:40"/>
    <d v="2019-05-06T00:00:00"/>
    <d v="2019-05-28T17:06:40"/>
    <x v="0"/>
    <x v="2"/>
    <s v="NF8208"/>
    <n v="4172"/>
    <x v="8"/>
    <n v="2019"/>
    <n v="5"/>
    <n v="2019"/>
    <x v="8"/>
    <x v="2"/>
    <n v="0"/>
  </r>
  <r>
    <d v="2019-06-07T11:58:12"/>
    <d v="2019-05-07T00:00:00"/>
    <d v="2019-06-07T11:58:12"/>
    <x v="0"/>
    <x v="2"/>
    <s v="NF1320"/>
    <n v="3827"/>
    <x v="11"/>
    <n v="2019"/>
    <n v="5"/>
    <n v="2019"/>
    <x v="9"/>
    <x v="2"/>
    <n v="0"/>
  </r>
  <r>
    <d v="2019-09-24T08:30:28"/>
    <d v="2019-05-09T00:00:00"/>
    <d v="2019-06-29T04:30:50"/>
    <x v="0"/>
    <x v="2"/>
    <s v="NF9162"/>
    <n v="1700"/>
    <x v="1"/>
    <n v="2019"/>
    <n v="5"/>
    <n v="2019"/>
    <x v="9"/>
    <x v="2"/>
    <n v="87.166406665150134"/>
  </r>
  <r>
    <d v="2019-05-29T18:19:47"/>
    <d v="2019-05-10T00:00:00"/>
    <d v="2019-05-29T18:19:47"/>
    <x v="0"/>
    <x v="2"/>
    <s v="NF1497"/>
    <n v="2090"/>
    <x v="8"/>
    <n v="2019"/>
    <n v="5"/>
    <n v="2019"/>
    <x v="8"/>
    <x v="2"/>
    <n v="0"/>
  </r>
  <r>
    <d v="2019-05-17T03:13:40"/>
    <d v="2019-05-13T00:00:00"/>
    <d v="2019-05-17T03:13:40"/>
    <x v="0"/>
    <x v="0"/>
    <s v="NF8398"/>
    <n v="3230"/>
    <x v="8"/>
    <n v="2019"/>
    <n v="5"/>
    <n v="2019"/>
    <x v="8"/>
    <x v="2"/>
    <n v="0"/>
  </r>
  <r>
    <d v="2019-06-02T22:38:24"/>
    <d v="2019-05-16T00:00:00"/>
    <d v="2019-06-02T22:38:24"/>
    <x v="0"/>
    <x v="1"/>
    <s v="NF1274"/>
    <n v="4030"/>
    <x v="11"/>
    <n v="2019"/>
    <n v="5"/>
    <n v="2019"/>
    <x v="9"/>
    <x v="2"/>
    <n v="0"/>
  </r>
  <r>
    <d v="2019-08-26T21:29:55"/>
    <d v="2019-05-19T00:00:00"/>
    <d v="2019-05-30T23:16:35"/>
    <x v="0"/>
    <x v="0"/>
    <s v="NF1599"/>
    <n v="1367"/>
    <x v="12"/>
    <n v="2019"/>
    <n v="5"/>
    <n v="2019"/>
    <x v="8"/>
    <x v="2"/>
    <n v="87.925930991143105"/>
  </r>
  <r>
    <d v="2019-06-10T05:29:09"/>
    <d v="2019-05-22T00:00:00"/>
    <d v="2019-06-10T05:29:09"/>
    <x v="0"/>
    <x v="1"/>
    <s v="NF6880"/>
    <n v="3945"/>
    <x v="11"/>
    <n v="2019"/>
    <n v="5"/>
    <n v="2019"/>
    <x v="9"/>
    <x v="2"/>
    <n v="0"/>
  </r>
  <r>
    <d v="2019-06-27T18:32:22"/>
    <d v="2019-05-25T00:00:00"/>
    <d v="2019-06-25T17:46:27"/>
    <x v="0"/>
    <x v="4"/>
    <s v="NF3246"/>
    <n v="4518"/>
    <x v="11"/>
    <n v="2019"/>
    <n v="5"/>
    <n v="2019"/>
    <x v="9"/>
    <x v="2"/>
    <n v="2.031889560057607"/>
  </r>
  <r>
    <d v="2019-07-27T22:26:22"/>
    <d v="2019-05-29T00:00:00"/>
    <d v="2019-06-29T12:11:45"/>
    <x v="0"/>
    <x v="1"/>
    <s v="NF4547"/>
    <n v="3086"/>
    <x v="10"/>
    <n v="2019"/>
    <n v="5"/>
    <n v="2019"/>
    <x v="9"/>
    <x v="2"/>
    <n v="28.426823942558258"/>
  </r>
  <r>
    <d v="2019-06-12T23:15:53"/>
    <d v="2019-06-03T00:00:00"/>
    <d v="2019-06-12T23:15:53"/>
    <x v="0"/>
    <x v="2"/>
    <s v="NF5900"/>
    <n v="297"/>
    <x v="11"/>
    <n v="2019"/>
    <n v="6"/>
    <n v="2019"/>
    <x v="9"/>
    <x v="2"/>
    <n v="0"/>
  </r>
  <r>
    <d v="2019-06-23T04:37:25"/>
    <d v="2019-06-07T00:00:00"/>
    <d v="2019-06-23T04:37:25"/>
    <x v="0"/>
    <x v="0"/>
    <s v="NF2566"/>
    <n v="3226"/>
    <x v="11"/>
    <n v="2019"/>
    <n v="6"/>
    <n v="2019"/>
    <x v="9"/>
    <x v="2"/>
    <n v="0"/>
  </r>
  <r>
    <s v=""/>
    <d v="2019-06-09T00:00:00"/>
    <d v="2019-07-26T16:06:04"/>
    <x v="0"/>
    <x v="1"/>
    <s v="NF1823"/>
    <n v="2338"/>
    <x v="2"/>
    <n v="0"/>
    <n v="6"/>
    <n v="2019"/>
    <x v="10"/>
    <x v="2"/>
    <n v="1721.3291158164211"/>
  </r>
  <r>
    <d v="2019-10-03T12:11:49"/>
    <d v="2019-06-16T00:00:00"/>
    <d v="2019-07-18T15:53:56"/>
    <x v="0"/>
    <x v="0"/>
    <s v="NF9109"/>
    <n v="3773"/>
    <x v="0"/>
    <n v="2019"/>
    <n v="6"/>
    <n v="2019"/>
    <x v="10"/>
    <x v="2"/>
    <n v="76.845757333467191"/>
  </r>
  <r>
    <s v=""/>
    <d v="2019-06-19T00:00:00"/>
    <d v="2019-08-09T02:03:08"/>
    <x v="0"/>
    <x v="0"/>
    <s v="NF4812"/>
    <n v="2759"/>
    <x v="2"/>
    <n v="0"/>
    <n v="6"/>
    <n v="2019"/>
    <x v="11"/>
    <x v="2"/>
    <n v="1707.9144901164909"/>
  </r>
  <r>
    <d v="2019-08-05T12:28:50"/>
    <d v="2019-06-21T00:00:00"/>
    <d v="2019-08-05T12:28:50"/>
    <x v="0"/>
    <x v="0"/>
    <s v="NF9082"/>
    <n v="1425"/>
    <x v="12"/>
    <n v="2019"/>
    <n v="6"/>
    <n v="2019"/>
    <x v="11"/>
    <x v="2"/>
    <n v="0"/>
  </r>
  <r>
    <d v="2019-08-20T22:17:49"/>
    <d v="2019-06-23T00:00:00"/>
    <d v="2019-08-20T22:17:49"/>
    <x v="0"/>
    <x v="0"/>
    <s v="NF3611"/>
    <n v="332"/>
    <x v="12"/>
    <n v="2019"/>
    <n v="6"/>
    <n v="2019"/>
    <x v="11"/>
    <x v="2"/>
    <n v="0"/>
  </r>
  <r>
    <d v="2019-07-07T04:41:45"/>
    <d v="2019-06-30T00:00:00"/>
    <d v="2019-07-07T04:41:45"/>
    <x v="0"/>
    <x v="1"/>
    <s v="NF4931"/>
    <n v="2819"/>
    <x v="10"/>
    <n v="2019"/>
    <n v="6"/>
    <n v="2019"/>
    <x v="1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mentoReceita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5:O13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4" baseItem="2" numFmtId="4"/>
  </dataFields>
  <formats count="3">
    <format dxfId="28">
      <pivotArea dataOnly="0" labelOnly="1" grandCol="1" outline="0" fieldPosition="0"/>
    </format>
    <format dxfId="27">
      <pivotArea dataOnly="0" labelOnly="1" grandCol="1" outline="0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5:O13" firstHeaderRow="1" firstDataRow="2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10" name="[TbRegistrosSaida].[Ano  Competência].[All]" cap="All"/>
  </pageFields>
  <dataFields count="1">
    <dataField name="Soma de Valor" fld="4" baseField="2" baseItem="1" numFmtId="4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3"/>
    <rowHierarchyUsage hierarchyUsage="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-de-dados-1.xlsx!TbRegistrosSaida">
        <x15:activeTabTopLevelEntity name="[TbRegistrosSaida]"/>
      </x15:pivotTableUISettings>
    </ext>
  </extLst>
</pivotTableDefinition>
</file>

<file path=xl/pivotTables/pivotTable3.xml><?xml version="1.0" encoding="utf-8"?>
<pivotTableDefinition xmlns="http://schemas.openxmlformats.org/spreadsheetml/2006/main" name="TDContasAPagar" cacheId="1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G12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/>
    </i>
    <i r="1">
      <x v="3"/>
    </i>
    <i r="1">
      <x v="6"/>
    </i>
    <i r="1">
      <x v="7"/>
    </i>
    <i t="default">
      <x/>
    </i>
  </colItems>
  <pageFields count="1">
    <pageField fld="12" item="2" hier="-1"/>
  </pageFields>
  <dataFields count="1">
    <dataField name="Soma de Valor" fld="6" baseField="3" baseItem="0" numFmtId="4"/>
  </dataFields>
  <formats count="4">
    <format dxfId="25">
      <pivotArea field="12" type="button" dataOnly="0" labelOnly="1" outline="0" axis="axisPage" fieldPosition="0"/>
    </format>
    <format dxfId="24">
      <pivotArea field="12" type="button" dataOnly="0" labelOnly="1" outline="0" axis="axisPage" fieldPosition="0"/>
    </format>
    <format dxfId="23">
      <pivotArea dataOnly="0" outline="0" fieldPosition="0">
        <references count="1">
          <reference field="12" count="0"/>
        </references>
      </pivotArea>
    </format>
    <format dxfId="22">
      <pivotArea dataOnly="0" outline="0" fieldPosition="0">
        <references count="1">
          <reference field="12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AReceber" cacheId="2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5:G12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5">
    <i>
      <x/>
    </i>
    <i r="1"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/>
    </i>
    <i r="1">
      <x v="3"/>
    </i>
    <i r="1">
      <x v="4"/>
    </i>
    <i r="1">
      <x v="6"/>
    </i>
    <i t="default">
      <x/>
    </i>
  </colItems>
  <pageFields count="1">
    <pageField fld="12" item="2" hier="-1"/>
  </pageFields>
  <dataFields count="1">
    <dataField name="Soma de Valor" fld="6" baseField="3" baseItem="0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AReceberVencidas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L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3">
        <item h="1" x="1"/>
        <item x="2"/>
        <item h="1" x="0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10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t="grand">
      <x/>
    </i>
  </colItems>
  <pageFields count="1">
    <pageField fld="10" hier="-1"/>
  </pageFields>
  <dataFields count="1">
    <dataField name="Soma de Valor" fld="6" baseField="3" baseItem="0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_Competência" sourceName="Mês _x000a_Competência">
  <pivotTables>
    <pivotTable tabId="12" name="TDDetalhamento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" sourceName="Ano _x000a_Competência">
  <pivotTables>
    <pivotTable tabId="12" name="TDDetalhamento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1" sourceName="[TbRegistrosSaida].[Ano  Competência]">
  <pivotTables>
    <pivotTable tabId="13" name="TdDetalhaDespesas"/>
  </pivotTables>
  <data>
    <olap pivotCacheId="2">
      <levels count="2">
        <level uniqueName="[TbRegistrosSaida].[Ano  Competência].[(All)]" sourceCaption="(All)" count="0"/>
        <level uniqueName="[TbRegistrosSaida].[Ano  Competência].[Ano  Competência]" sourceCaption="Ano  Competência" count="3">
          <ranges>
            <range startItem="0">
              <i n="[TbRegistrosSaida].[Ano  Competência].&amp;[2017]" c="2017"/>
              <i n="[TbRegistrosSaida].[Ano  Competência].&amp;[2018]" c="2018"/>
              <i n="[TbRegistrosSaida].[Ano  Competência].&amp;[2019]" c="2019"/>
            </range>
          </ranges>
        </level>
      </levels>
      <selections count="1">
        <selection n="[TbRegistrosSaida].[Ano  Competência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_Competência1" sourceName="[TbRegistrosSaida].[Mês  Competência]">
  <pivotTables>
    <pivotTable tabId="13" name="TdDetalhaDespesas"/>
  </pivotTables>
  <data>
    <olap pivotCacheId="2">
      <levels count="2">
        <level uniqueName="[TbRegistrosSaida].[Mês  Competência].[(All)]" sourceCaption="(All)" count="0"/>
        <level uniqueName="[TbRegistrosSaida].[Mês  Competência].[Mês  Competência]" sourceCaption="Mês  Competência" count="12">
          <ranges>
            <range startItem="0">
              <i n="[TbRegistrosSaida].[Mês  Competência].&amp;[1]" c="1"/>
              <i n="[TbRegistrosSaida].[Mês  Competência].&amp;[2]" c="2"/>
              <i n="[TbRegistrosSaida].[Mês  Competência].&amp;[3]" c="3"/>
              <i n="[TbRegistrosSaida].[Mês  Competência].&amp;[4]" c="4"/>
              <i n="[TbRegistrosSaida].[Mês  Competência].&amp;[5]" c="5"/>
              <i n="[TbRegistrosSaida].[Mês  Competência].&amp;[6]" c="6"/>
              <i n="[TbRegistrosSaida].[Mês  Competência].&amp;[7]" c="7"/>
              <i n="[TbRegistrosSaida].[Mês  Competência].&amp;[8]" c="8"/>
              <i n="[TbRegistrosSaida].[Mês  Competência].&amp;[9]" c="9"/>
              <i n="[TbRegistrosSaida].[Mês  Competência].&amp;[10]" c="10"/>
              <i n="[TbRegistrosSaida].[Mês  Competência].&amp;[11]" c="11"/>
              <i n="[TbRegistrosSaida].[Mês  Competência].&amp;[12]" c="12"/>
            </range>
          </ranges>
        </level>
      </levels>
      <selections count="1">
        <selection n="[TbRegistrosSaida].[Mês  Competência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bRegistrosSaida].[Mês  Competência].[Mês  Competência]" count="0"/>
      </x15:slicerCacheHideItemsWithNoData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4" name="TDContasAPagar"/>
  </pivotTables>
  <data>
    <tabular pivotCacheId="3">
      <items count="12">
        <i x="4" s="1"/>
        <i x="7" s="1"/>
        <i x="10" s="1"/>
        <i x="11" s="1"/>
        <i x="5" s="1" nd="1"/>
        <i x="6" s="1" nd="1"/>
        <i x="8" s="1" nd="1"/>
        <i x="9" s="1" nd="1"/>
        <i x="1" s="1" nd="1"/>
        <i x="0" s="1" nd="1"/>
        <i x="2" s="1" nd="1"/>
        <i x="3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4" name="TDContasAPagar"/>
  </pivotTables>
  <data>
    <tabular pivotCacheId="3">
      <items count="3">
        <i x="0"/>
        <i x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5" name="TDContasAReceber"/>
  </pivotTables>
  <data>
    <tabular pivotCacheId="1">
      <items count="12">
        <i x="5" s="1"/>
        <i x="8" s="1"/>
        <i x="9" s="1"/>
        <i x="11" s="1"/>
        <i x="6" s="1" nd="1"/>
        <i x="7" s="1" nd="1"/>
        <i x="10" s="1" nd="1"/>
        <i x="0" s="1" nd="1"/>
        <i x="1" s="1" nd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5" name="TDContasAReceber"/>
  </pivotTables>
  <data>
    <tabular pivotCacheId="1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2" sourceName="Ano _x000a_Competência">
  <pivotTables>
    <pivotTable tabId="16" name="TDContasAReceberVencidas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_x000a_Competência" cache="SegmentaçãodeDados_Mês__Competência" caption="Mês _x000a_Competência" columnCount="6" style="SlicerStyleOther2" rowHeight="241300"/>
  <slicer name="Ano _x000a_Competência" cache="SegmentaçãodeDados_Ano__Competência" caption="Ano _x000a_Competência" columnCount="3" style="SlicerStyleOther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 Competência" cache="SegmentaçãodeDados_Ano__Competência1" caption="Ano  Competência" columnCount="3" level="1" rowHeight="241300"/>
  <slicer name="Mês  Competência" cache="SegmentaçãodeDados_Mês__Competência1" caption="Mês  Competência" columnCount="6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41300"/>
  <slicer name="Ano Previsto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41300"/>
  <slicer name="Ano Previsto 1" cache="SegmentaçãodeDados_Ano_Previsto1" caption="Ano Previsto" startItem="2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_x000a_Competência 1" cache="SegmentaçãodeDados_Ano__Competência2" caption="Ano _x000a_Competência" columnCount="3" rowHeight="241300"/>
</slicers>
</file>

<file path=xl/tables/table1.xml><?xml version="1.0" encoding="utf-8"?>
<table xmlns="http://schemas.openxmlformats.org/spreadsheetml/2006/main" id="2" name="TbPCEntradasN1" displayName="TbPCEntradasN1" ref="B4:B10" totalsRowShown="0" headerRowDxfId="65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bPCEntradasN2" displayName="TbPCEntradasN2" ref="B4:C13" totalsRowShown="0">
  <autoFilter ref="B4:C13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BSaidasNivel1" displayName="TBSaidasNivel1" ref="B4:B10" totalsRowShown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C16" totalsRowShown="0">
  <autoFilter ref="B4:C16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5:Q236" totalsRowShown="0" headerRowDxfId="64" dataDxfId="63">
  <autoFilter ref="B5:Q236"/>
  <tableColumns count="16">
    <tableColumn id="1" name="Data do Caixa Realizado" dataDxfId="62"/>
    <tableColumn id="2" name="Data da Competência" dataDxfId="61"/>
    <tableColumn id="3" name="Data do Caixa Previsto" dataDxfId="60"/>
    <tableColumn id="4" name="Conta Nível 1" dataDxfId="59"/>
    <tableColumn id="5" name="Conta Nível 2" dataDxfId="58"/>
    <tableColumn id="6" name="Histórico" dataDxfId="57"/>
    <tableColumn id="7" name="Valor" dataDxfId="56"/>
    <tableColumn id="8" name="Mês Caixa" dataDxfId="55">
      <calculatedColumnFormula>IF(TbRegistroEntradas[[#This Row],[Data do Caixa Realizado]]="",0,MONTH(TbRegistroEntradas[[#This Row],[Data do Caixa Realizado]]))</calculatedColumnFormula>
    </tableColumn>
    <tableColumn id="9" name="Ano Caixa" dataDxfId="54">
      <calculatedColumnFormula>IF(TbRegistroEntradas[[#This Row],[Data do Caixa Realizado]]="",0,YEAR(TbRegistroEntradas[[#This Row],[Data do Caixa Realizado]]))</calculatedColumnFormula>
    </tableColumn>
    <tableColumn id="10" name="Mês _x000a_Competência" dataDxfId="53">
      <calculatedColumnFormula>IF(TbRegistroEntradas[[#This Row],[Data da Competência]]="",0,MONTH(TbRegistroEntradas[[#This Row],[Data da Competência]]))</calculatedColumnFormula>
    </tableColumn>
    <tableColumn id="11" name="Ano _x000a_Competência" dataDxfId="52">
      <calculatedColumnFormula>IF(TbRegistroEntradas[[#This Row],[Data da Competência]]="",0,YEAR(TbRegistroEntradas[[#This Row],[Data da Competência]]))</calculatedColumnFormula>
    </tableColumn>
    <tableColumn id="12" name="Mês previsto" dataDxfId="51">
      <calculatedColumnFormula>IF(TbRegistroEntradas[[#This Row],[Data do Caixa Previsto]]="",0,MONTH(TbRegistroEntradas[[#This Row],[Data do Caixa Previsto]]))</calculatedColumnFormula>
    </tableColumn>
    <tableColumn id="13" name="Ano Previsto" dataDxfId="50">
      <calculatedColumnFormula>IF(TbRegistroEntradas[[#This Row],[Data do Caixa Previsto]]="",0,YEAR(TbRegistroEntradas[[#This Row],[Data do Caixa Previsto]]))</calculatedColumnFormula>
    </tableColumn>
    <tableColumn id="16" name="Á vista" dataDxfId="49">
      <calculatedColumnFormula>IF(TbRegistroEntradas[[#This Row],[Data da Competência]]=TbRegistroEntradas[[#This Row],[Data do Caixa Previsto]],"Vista","Prazo")</calculatedColumnFormula>
    </tableColumn>
    <tableColumn id="17" name="Dias de _x000a_atraso" dataDxfId="48">
      <calculatedColumnFormula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calculatedColumnFormula>
    </tableColumn>
    <tableColumn id="14" name="Conta vencida" dataDxfId="47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6" name="TbRegistrosSaida" displayName="TbRegistrosSaida" ref="B5:O234" totalsRowShown="0" headerRowDxfId="46" dataDxfId="44" headerRowBorderDxfId="45" tableBorderDxfId="43">
  <autoFilter ref="B5:O234">
    <filterColumn colId="8">
      <filters>
        <filter val="2019"/>
      </filters>
    </filterColumn>
  </autoFilter>
  <tableColumns count="14">
    <tableColumn id="1" name="Data do Caixa Realizado" dataDxfId="42"/>
    <tableColumn id="2" name="Data da Competência" dataDxfId="41"/>
    <tableColumn id="3" name="Data do Caixa Previsto" dataDxfId="40"/>
    <tableColumn id="4" name="Conta Nível 1" dataDxfId="39"/>
    <tableColumn id="5" name="Conta Nível 2" dataDxfId="38"/>
    <tableColumn id="6" name="Histórico" dataDxfId="37"/>
    <tableColumn id="7" name="Valor" dataDxfId="36"/>
    <tableColumn id="8" name="Mês Caixa" dataDxfId="35">
      <calculatedColumnFormula>IF(TbRegistrosSaida[[#This Row],[Data do Caixa Realizado]]="",0,MONTH(TbRegistrosSaida[[#This Row],[Data do Caixa Realizado]]))</calculatedColumnFormula>
    </tableColumn>
    <tableColumn id="9" name="Ano Caixa" dataDxfId="34">
      <calculatedColumnFormula>IF(TbRegistrosSaida[[#This Row],[Data do Caixa Realizado]]="",0,YEAR(TbRegistrosSaida[[#This Row],[Data do Caixa Realizado]]))</calculatedColumnFormula>
    </tableColumn>
    <tableColumn id="10" name="Mês _x000a_Competência" dataDxfId="33">
      <calculatedColumnFormula>IF(TbRegistrosSaida[[#This Row],[Data da Competência]]="",0,MONTH(TbRegistrosSaida[[#This Row],[Data da Competência]]))</calculatedColumnFormula>
    </tableColumn>
    <tableColumn id="11" name="Ano _x000a_Competência" dataDxfId="32">
      <calculatedColumnFormula>IF(TbRegistrosSaida[[#This Row],[Data da Competência]]="",0,YEAR(TbRegistrosSaida[[#This Row],[Data da Competência]]))</calculatedColumnFormula>
    </tableColumn>
    <tableColumn id="12" name="Mês previsto" dataDxfId="31">
      <calculatedColumnFormula>IF(TbRegistrosSaida[[#This Row],[Data do Caixa Previsto]]="",0,MONTH(TbRegistrosSaida[[#This Row],[Data do Caixa Previsto]]))</calculatedColumnFormula>
    </tableColumn>
    <tableColumn id="13" name="Ano Previsto" dataDxfId="30">
      <calculatedColumnFormula>IF(TbRegistrosSaida[[#This Row],[Data do Caixa Previsto]]="",0,YEAR(TbRegistrosSaida[[#This Row],[Data do Caixa Previsto]]))</calculatedColumnFormula>
    </tableColumn>
    <tableColumn id="14" name="Dias de _x000a_atraso" dataDxfId="29">
      <calculatedColumnFormula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RowColHeader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 t="s">
        <v>25</v>
      </c>
    </row>
    <row r="2" spans="2:14" ht="20.100000000000001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2:14" ht="20.100000000000001" customHeight="1" x14ac:dyDescent="0.25">
      <c r="B3" t="s">
        <v>26</v>
      </c>
    </row>
    <row r="4" spans="2:14" ht="20.100000000000001" customHeight="1" x14ac:dyDescent="0.25">
      <c r="B4" s="133" t="s">
        <v>28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27</v>
      </c>
      <c r="C7" s="4"/>
    </row>
    <row r="8" spans="2:14" ht="20.100000000000001" customHeight="1" x14ac:dyDescent="0.25">
      <c r="B8" s="133" t="s">
        <v>29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9" customHeight="1" x14ac:dyDescent="0.25"/>
    <row r="19" spans="4:14" ht="9.75" customHeight="1" x14ac:dyDescent="0.25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</sheetData>
  <sheetProtection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"/>
  <sheetViews>
    <sheetView showGridLines="0" topLeftCell="A4" workbookViewId="0">
      <selection activeCell="O12" sqref="O12"/>
    </sheetView>
  </sheetViews>
  <sheetFormatPr defaultColWidth="0" defaultRowHeight="15" x14ac:dyDescent="0.25"/>
  <cols>
    <col min="1" max="1" width="1.7109375" customWidth="1"/>
    <col min="2" max="2" width="29.7109375" customWidth="1"/>
    <col min="3" max="14" width="11.7109375" customWidth="1"/>
    <col min="15" max="15" width="15.7109375" customWidth="1"/>
    <col min="16" max="16383" width="9.140625" hidden="1"/>
    <col min="16384" max="16384" width="1.85546875" hidden="1" customWidth="1"/>
  </cols>
  <sheetData>
    <row r="1" spans="2:15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7" t="s">
        <v>33</v>
      </c>
    </row>
    <row r="2" spans="2:15" ht="111.9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>
      <c r="B3" s="52" t="s">
        <v>563</v>
      </c>
      <c r="C3" t="s">
        <v>564</v>
      </c>
    </row>
    <row r="4" spans="2:15" ht="20.100000000000001" customHeight="1" x14ac:dyDescent="0.25"/>
    <row r="5" spans="2:15" ht="20.100000000000001" customHeight="1" x14ac:dyDescent="0.25">
      <c r="B5" s="52" t="s">
        <v>568</v>
      </c>
      <c r="C5" s="52" t="s">
        <v>567</v>
      </c>
    </row>
    <row r="6" spans="2:15" ht="20.100000000000001" customHeight="1" x14ac:dyDescent="0.25">
      <c r="B6" s="52" t="s">
        <v>565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s="55" t="s">
        <v>566</v>
      </c>
    </row>
    <row r="7" spans="2:15" ht="20.100000000000001" customHeight="1" x14ac:dyDescent="0.25">
      <c r="B7" s="53" t="s">
        <v>0</v>
      </c>
      <c r="C7" s="56">
        <v>43479</v>
      </c>
      <c r="D7" s="56">
        <v>56516</v>
      </c>
      <c r="E7" s="56">
        <v>56059</v>
      </c>
      <c r="F7" s="56">
        <v>53165</v>
      </c>
      <c r="G7" s="56">
        <v>41611</v>
      </c>
      <c r="H7" s="56">
        <v>40576</v>
      </c>
      <c r="I7" s="56">
        <v>33298</v>
      </c>
      <c r="J7" s="56">
        <v>32438</v>
      </c>
      <c r="K7" s="56">
        <v>57887</v>
      </c>
      <c r="L7" s="56">
        <v>60137</v>
      </c>
      <c r="M7" s="56">
        <v>62513</v>
      </c>
      <c r="N7" s="56">
        <v>50431</v>
      </c>
      <c r="O7" s="56">
        <v>588110</v>
      </c>
    </row>
    <row r="8" spans="2:15" ht="20.100000000000001" customHeight="1" x14ac:dyDescent="0.25">
      <c r="B8" s="54" t="s">
        <v>17</v>
      </c>
      <c r="C8" s="56">
        <v>6857</v>
      </c>
      <c r="D8" s="56">
        <v>4461</v>
      </c>
      <c r="E8" s="56">
        <v>4800</v>
      </c>
      <c r="F8" s="56"/>
      <c r="G8" s="56">
        <v>10875</v>
      </c>
      <c r="H8" s="56">
        <v>9700</v>
      </c>
      <c r="I8" s="56">
        <v>2713</v>
      </c>
      <c r="J8" s="56">
        <v>3080</v>
      </c>
      <c r="K8" s="56">
        <v>2502</v>
      </c>
      <c r="L8" s="56">
        <v>7137</v>
      </c>
      <c r="M8" s="56">
        <v>7046</v>
      </c>
      <c r="N8" s="56">
        <v>4559</v>
      </c>
      <c r="O8" s="56">
        <v>63730</v>
      </c>
    </row>
    <row r="9" spans="2:15" ht="20.100000000000001" customHeight="1" x14ac:dyDescent="0.25">
      <c r="B9" s="54" t="s">
        <v>3</v>
      </c>
      <c r="C9" s="56">
        <v>3843</v>
      </c>
      <c r="D9" s="56">
        <v>11762</v>
      </c>
      <c r="E9" s="56">
        <v>9651</v>
      </c>
      <c r="F9" s="56">
        <v>14524</v>
      </c>
      <c r="G9" s="56">
        <v>5167</v>
      </c>
      <c r="H9" s="56">
        <v>2114</v>
      </c>
      <c r="I9" s="56">
        <v>8337</v>
      </c>
      <c r="J9" s="56">
        <v>7817</v>
      </c>
      <c r="K9" s="56">
        <v>14528</v>
      </c>
      <c r="L9" s="56">
        <v>10422</v>
      </c>
      <c r="M9" s="56">
        <v>10619</v>
      </c>
      <c r="N9" s="56">
        <v>16304</v>
      </c>
      <c r="O9" s="56">
        <v>115088</v>
      </c>
    </row>
    <row r="10" spans="2:15" ht="20.100000000000001" customHeight="1" x14ac:dyDescent="0.25">
      <c r="B10" s="54" t="s">
        <v>5</v>
      </c>
      <c r="C10" s="56">
        <v>6759</v>
      </c>
      <c r="D10" s="56">
        <v>13905</v>
      </c>
      <c r="E10" s="56">
        <v>10836</v>
      </c>
      <c r="F10" s="56">
        <v>5066</v>
      </c>
      <c r="G10" s="56">
        <v>2805</v>
      </c>
      <c r="H10" s="56">
        <v>4706</v>
      </c>
      <c r="I10" s="56">
        <v>1306</v>
      </c>
      <c r="J10" s="56"/>
      <c r="K10" s="56">
        <v>10681</v>
      </c>
      <c r="L10" s="56">
        <v>6465</v>
      </c>
      <c r="M10" s="56">
        <v>7373</v>
      </c>
      <c r="N10" s="56"/>
      <c r="O10" s="56">
        <v>69902</v>
      </c>
    </row>
    <row r="11" spans="2:15" ht="20.100000000000001" customHeight="1" x14ac:dyDescent="0.25">
      <c r="B11" s="54" t="s">
        <v>24</v>
      </c>
      <c r="C11" s="56">
        <v>18745</v>
      </c>
      <c r="D11" s="56">
        <v>20692</v>
      </c>
      <c r="E11" s="56">
        <v>13156</v>
      </c>
      <c r="F11" s="56">
        <v>32957</v>
      </c>
      <c r="G11" s="56">
        <v>13902</v>
      </c>
      <c r="H11" s="56">
        <v>19226</v>
      </c>
      <c r="I11" s="56">
        <v>12594</v>
      </c>
      <c r="J11" s="56">
        <v>11590</v>
      </c>
      <c r="K11" s="56">
        <v>27785</v>
      </c>
      <c r="L11" s="56">
        <v>20341</v>
      </c>
      <c r="M11" s="56">
        <v>28005</v>
      </c>
      <c r="N11" s="56">
        <v>17080</v>
      </c>
      <c r="O11" s="56">
        <v>236073</v>
      </c>
    </row>
    <row r="12" spans="2:15" ht="20.100000000000001" customHeight="1" x14ac:dyDescent="0.25">
      <c r="B12" s="54" t="s">
        <v>49</v>
      </c>
      <c r="C12" s="56">
        <v>7275</v>
      </c>
      <c r="D12" s="56">
        <v>5696</v>
      </c>
      <c r="E12" s="56">
        <v>17616</v>
      </c>
      <c r="F12" s="56">
        <v>618</v>
      </c>
      <c r="G12" s="56">
        <v>8862</v>
      </c>
      <c r="H12" s="56">
        <v>4830</v>
      </c>
      <c r="I12" s="56">
        <v>8348</v>
      </c>
      <c r="J12" s="56">
        <v>9951</v>
      </c>
      <c r="K12" s="56">
        <v>2391</v>
      </c>
      <c r="L12" s="56">
        <v>15772</v>
      </c>
      <c r="M12" s="56">
        <v>9470</v>
      </c>
      <c r="N12" s="56">
        <v>12488</v>
      </c>
      <c r="O12" s="56">
        <v>103317</v>
      </c>
    </row>
    <row r="13" spans="2:15" ht="20.100000000000001" customHeight="1" x14ac:dyDescent="0.25">
      <c r="B13" s="53" t="s">
        <v>566</v>
      </c>
      <c r="C13" s="56">
        <v>43479</v>
      </c>
      <c r="D13" s="56">
        <v>56516</v>
      </c>
      <c r="E13" s="56">
        <v>56059</v>
      </c>
      <c r="F13" s="56">
        <v>53165</v>
      </c>
      <c r="G13" s="56">
        <v>41611</v>
      </c>
      <c r="H13" s="56">
        <v>40576</v>
      </c>
      <c r="I13" s="56">
        <v>33298</v>
      </c>
      <c r="J13" s="56">
        <v>32438</v>
      </c>
      <c r="K13" s="56">
        <v>57887</v>
      </c>
      <c r="L13" s="56">
        <v>60137</v>
      </c>
      <c r="M13" s="56">
        <v>62513</v>
      </c>
      <c r="N13" s="56">
        <v>50431</v>
      </c>
      <c r="O13" s="56">
        <v>588110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J6" sqref="J6"/>
    </sheetView>
  </sheetViews>
  <sheetFormatPr defaultColWidth="0" defaultRowHeight="15" x14ac:dyDescent="0.25"/>
  <cols>
    <col min="1" max="1" width="1.7109375" customWidth="1"/>
    <col min="2" max="2" width="29.7109375" customWidth="1"/>
    <col min="3" max="14" width="11.7109375" customWidth="1"/>
    <col min="15" max="15" width="14.85546875" customWidth="1"/>
    <col min="16" max="16384" width="9.140625" hidden="1"/>
  </cols>
  <sheetData>
    <row r="1" spans="2:15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7" t="s">
        <v>32</v>
      </c>
    </row>
    <row r="2" spans="2:15" ht="111.9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>
      <c r="B3" s="52" t="s">
        <v>569</v>
      </c>
      <c r="C3" t="s" vm="1">
        <v>570</v>
      </c>
    </row>
    <row r="4" spans="2:15" ht="20.100000000000001" customHeight="1" x14ac:dyDescent="0.25"/>
    <row r="5" spans="2:15" ht="20.100000000000001" customHeight="1" x14ac:dyDescent="0.25">
      <c r="B5" s="52" t="s">
        <v>568</v>
      </c>
      <c r="C5" s="52" t="s">
        <v>567</v>
      </c>
    </row>
    <row r="6" spans="2:15" ht="20.100000000000001" customHeight="1" x14ac:dyDescent="0.25">
      <c r="B6" s="52" t="s">
        <v>565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t="s">
        <v>566</v>
      </c>
    </row>
    <row r="7" spans="2:15" ht="20.100000000000001" customHeight="1" x14ac:dyDescent="0.25">
      <c r="B7" s="53" t="s">
        <v>16</v>
      </c>
      <c r="C7" s="56">
        <v>72353</v>
      </c>
      <c r="D7" s="56">
        <v>51906</v>
      </c>
      <c r="E7" s="56">
        <v>55619</v>
      </c>
      <c r="F7" s="56">
        <v>41790</v>
      </c>
      <c r="G7" s="56">
        <v>62092</v>
      </c>
      <c r="H7" s="56">
        <v>41896</v>
      </c>
      <c r="I7" s="56">
        <v>34065</v>
      </c>
      <c r="J7" s="56">
        <v>32710</v>
      </c>
      <c r="K7" s="56">
        <v>42011</v>
      </c>
      <c r="L7" s="56">
        <v>46262</v>
      </c>
      <c r="M7" s="56">
        <v>48607</v>
      </c>
      <c r="N7" s="56">
        <v>55563</v>
      </c>
      <c r="O7" s="56">
        <v>584874</v>
      </c>
    </row>
    <row r="8" spans="2:15" ht="20.100000000000001" customHeight="1" x14ac:dyDescent="0.25">
      <c r="B8" s="54" t="s">
        <v>17</v>
      </c>
      <c r="C8" s="56">
        <v>7953</v>
      </c>
      <c r="D8" s="56">
        <v>4012</v>
      </c>
      <c r="E8" s="56">
        <v>15192</v>
      </c>
      <c r="F8" s="56">
        <v>6213</v>
      </c>
      <c r="G8" s="56">
        <v>6400</v>
      </c>
      <c r="H8" s="56">
        <v>1613</v>
      </c>
      <c r="I8" s="56"/>
      <c r="J8" s="56">
        <v>9987</v>
      </c>
      <c r="K8" s="56">
        <v>5001</v>
      </c>
      <c r="L8" s="56">
        <v>13446</v>
      </c>
      <c r="M8" s="56">
        <v>1542</v>
      </c>
      <c r="N8" s="56">
        <v>16042</v>
      </c>
      <c r="O8" s="56">
        <v>87401</v>
      </c>
    </row>
    <row r="9" spans="2:15" ht="20.100000000000001" customHeight="1" x14ac:dyDescent="0.25">
      <c r="B9" s="54" t="s">
        <v>3</v>
      </c>
      <c r="C9" s="56">
        <v>6054</v>
      </c>
      <c r="D9" s="56">
        <v>15916</v>
      </c>
      <c r="E9" s="56">
        <v>474</v>
      </c>
      <c r="F9" s="56">
        <v>3722</v>
      </c>
      <c r="G9" s="56">
        <v>18195</v>
      </c>
      <c r="H9" s="56">
        <v>10540</v>
      </c>
      <c r="I9" s="56">
        <v>14461</v>
      </c>
      <c r="J9" s="56">
        <v>4383</v>
      </c>
      <c r="K9" s="56">
        <v>3022</v>
      </c>
      <c r="L9" s="56">
        <v>1158</v>
      </c>
      <c r="M9" s="56">
        <v>7204</v>
      </c>
      <c r="N9" s="56">
        <v>5768</v>
      </c>
      <c r="O9" s="56">
        <v>90897</v>
      </c>
    </row>
    <row r="10" spans="2:15" ht="20.100000000000001" customHeight="1" x14ac:dyDescent="0.25">
      <c r="B10" s="54" t="s">
        <v>5</v>
      </c>
      <c r="C10" s="56">
        <v>2247</v>
      </c>
      <c r="D10" s="56">
        <v>10721</v>
      </c>
      <c r="E10" s="56">
        <v>8747</v>
      </c>
      <c r="F10" s="56">
        <v>7574</v>
      </c>
      <c r="G10" s="56"/>
      <c r="H10" s="56"/>
      <c r="I10" s="56">
        <v>1108</v>
      </c>
      <c r="J10" s="56">
        <v>4462</v>
      </c>
      <c r="K10" s="56">
        <v>7143</v>
      </c>
      <c r="L10" s="56">
        <v>14837</v>
      </c>
      <c r="M10" s="56">
        <v>5208</v>
      </c>
      <c r="N10" s="56">
        <v>8248</v>
      </c>
      <c r="O10" s="56">
        <v>70295</v>
      </c>
    </row>
    <row r="11" spans="2:15" ht="20.100000000000001" customHeight="1" x14ac:dyDescent="0.25">
      <c r="B11" s="54" t="s">
        <v>49</v>
      </c>
      <c r="C11" s="56">
        <v>23815</v>
      </c>
      <c r="D11" s="56">
        <v>4148</v>
      </c>
      <c r="E11" s="56">
        <v>9064</v>
      </c>
      <c r="F11" s="56"/>
      <c r="G11" s="56">
        <v>9140</v>
      </c>
      <c r="H11" s="56">
        <v>15271</v>
      </c>
      <c r="I11" s="56">
        <v>7688</v>
      </c>
      <c r="J11" s="56">
        <v>7095</v>
      </c>
      <c r="K11" s="56">
        <v>9665</v>
      </c>
      <c r="L11" s="56">
        <v>1260</v>
      </c>
      <c r="M11" s="56">
        <v>5147</v>
      </c>
      <c r="N11" s="56">
        <v>6405</v>
      </c>
      <c r="O11" s="56">
        <v>98698</v>
      </c>
    </row>
    <row r="12" spans="2:15" ht="20.100000000000001" customHeight="1" x14ac:dyDescent="0.25">
      <c r="B12" s="54" t="s">
        <v>77</v>
      </c>
      <c r="C12" s="56">
        <v>32284</v>
      </c>
      <c r="D12" s="56">
        <v>17109</v>
      </c>
      <c r="E12" s="56">
        <v>22142</v>
      </c>
      <c r="F12" s="56">
        <v>24281</v>
      </c>
      <c r="G12" s="56">
        <v>28357</v>
      </c>
      <c r="H12" s="56">
        <v>14472</v>
      </c>
      <c r="I12" s="56">
        <v>10808</v>
      </c>
      <c r="J12" s="56">
        <v>6783</v>
      </c>
      <c r="K12" s="56">
        <v>17180</v>
      </c>
      <c r="L12" s="56">
        <v>15561</v>
      </c>
      <c r="M12" s="56">
        <v>29506</v>
      </c>
      <c r="N12" s="56">
        <v>19100</v>
      </c>
      <c r="O12" s="56">
        <v>237583</v>
      </c>
    </row>
    <row r="13" spans="2:15" ht="20.100000000000001" customHeight="1" x14ac:dyDescent="0.25">
      <c r="B13" s="53" t="s">
        <v>566</v>
      </c>
      <c r="C13" s="56">
        <v>72353</v>
      </c>
      <c r="D13" s="56">
        <v>51906</v>
      </c>
      <c r="E13" s="56">
        <v>55619</v>
      </c>
      <c r="F13" s="56">
        <v>41790</v>
      </c>
      <c r="G13" s="56">
        <v>62092</v>
      </c>
      <c r="H13" s="56">
        <v>41896</v>
      </c>
      <c r="I13" s="56">
        <v>34065</v>
      </c>
      <c r="J13" s="56">
        <v>32710</v>
      </c>
      <c r="K13" s="56">
        <v>42011</v>
      </c>
      <c r="L13" s="56">
        <v>46262</v>
      </c>
      <c r="M13" s="56">
        <v>48607</v>
      </c>
      <c r="N13" s="56">
        <v>55563</v>
      </c>
      <c r="O13" s="56">
        <v>584874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abSelected="1" topLeftCell="A4" workbookViewId="0">
      <selection activeCell="F10" sqref="F10"/>
    </sheetView>
  </sheetViews>
  <sheetFormatPr defaultColWidth="0" defaultRowHeight="15" x14ac:dyDescent="0.25"/>
  <cols>
    <col min="1" max="1" width="1.7109375" customWidth="1"/>
    <col min="2" max="2" width="30.7109375" customWidth="1"/>
    <col min="3" max="14" width="11.7109375" customWidth="1"/>
    <col min="15" max="15" width="11.5703125" customWidth="1"/>
    <col min="16" max="16384" width="9.140625" hidden="1"/>
  </cols>
  <sheetData>
    <row r="1" spans="2:15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7" t="s">
        <v>34</v>
      </c>
    </row>
    <row r="2" spans="2:15" ht="111.9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/>
    <row r="4" spans="2:15" ht="20.100000000000001" customHeight="1" x14ac:dyDescent="0.25">
      <c r="B4" s="59" t="s">
        <v>572</v>
      </c>
      <c r="C4" s="21">
        <v>2019</v>
      </c>
    </row>
    <row r="5" spans="2:15" ht="20.100000000000001" customHeight="1" x14ac:dyDescent="0.25"/>
    <row r="6" spans="2:15" ht="20.100000000000001" customHeight="1" x14ac:dyDescent="0.25">
      <c r="B6" s="52" t="s">
        <v>568</v>
      </c>
      <c r="C6" s="52" t="s">
        <v>567</v>
      </c>
    </row>
    <row r="7" spans="2:15" ht="20.100000000000001" customHeight="1" x14ac:dyDescent="0.25">
      <c r="C7">
        <v>0</v>
      </c>
      <c r="G7" t="s">
        <v>573</v>
      </c>
    </row>
    <row r="8" spans="2:15" ht="20.100000000000001" customHeight="1" x14ac:dyDescent="0.25">
      <c r="B8" s="52" t="s">
        <v>565</v>
      </c>
      <c r="C8">
        <v>1</v>
      </c>
      <c r="D8">
        <v>4</v>
      </c>
      <c r="E8">
        <v>7</v>
      </c>
      <c r="F8">
        <v>8</v>
      </c>
    </row>
    <row r="9" spans="2:15" ht="20.100000000000001" customHeight="1" x14ac:dyDescent="0.25">
      <c r="B9" s="53" t="s">
        <v>16</v>
      </c>
      <c r="C9" s="60">
        <v>5159</v>
      </c>
      <c r="D9" s="60">
        <v>1753</v>
      </c>
      <c r="E9" s="60">
        <v>2338</v>
      </c>
      <c r="F9" s="60">
        <v>2759</v>
      </c>
      <c r="G9" s="60">
        <v>12009</v>
      </c>
    </row>
    <row r="10" spans="2:15" ht="20.100000000000001" customHeight="1" x14ac:dyDescent="0.25">
      <c r="B10" s="54" t="s">
        <v>49</v>
      </c>
      <c r="C10" s="60"/>
      <c r="D10" s="60">
        <v>1753</v>
      </c>
      <c r="E10" s="60"/>
      <c r="F10" s="60">
        <v>2759</v>
      </c>
      <c r="G10" s="60">
        <v>4512</v>
      </c>
    </row>
    <row r="11" spans="2:15" ht="20.100000000000001" customHeight="1" x14ac:dyDescent="0.25">
      <c r="B11" s="54" t="s">
        <v>77</v>
      </c>
      <c r="C11" s="60">
        <v>5159</v>
      </c>
      <c r="D11" s="60"/>
      <c r="E11" s="60">
        <v>2338</v>
      </c>
      <c r="F11" s="60"/>
      <c r="G11" s="60">
        <v>7497</v>
      </c>
    </row>
    <row r="12" spans="2:15" ht="20.100000000000001" customHeight="1" x14ac:dyDescent="0.25">
      <c r="B12" s="53" t="s">
        <v>566</v>
      </c>
      <c r="C12" s="60">
        <v>5159</v>
      </c>
      <c r="D12" s="60">
        <v>1753</v>
      </c>
      <c r="E12" s="60">
        <v>2338</v>
      </c>
      <c r="F12" s="60">
        <v>2759</v>
      </c>
      <c r="G12" s="60">
        <v>12009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opLeftCell="A7" workbookViewId="0">
      <selection activeCell="G12" sqref="G12"/>
    </sheetView>
  </sheetViews>
  <sheetFormatPr defaultColWidth="0" defaultRowHeight="15" x14ac:dyDescent="0.25"/>
  <cols>
    <col min="1" max="1" width="1.7109375" customWidth="1"/>
    <col min="2" max="2" width="30.7109375" customWidth="1"/>
    <col min="3" max="14" width="11.7109375" customWidth="1"/>
    <col min="15" max="15" width="9.140625" customWidth="1"/>
    <col min="16" max="16384" width="9.140625" hidden="1"/>
  </cols>
  <sheetData>
    <row r="1" spans="2:15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7" t="s">
        <v>35</v>
      </c>
    </row>
    <row r="2" spans="2:15" ht="111.9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>
      <c r="B3" s="52" t="s">
        <v>572</v>
      </c>
      <c r="C3" s="53">
        <v>2019</v>
      </c>
    </row>
    <row r="4" spans="2:15" ht="20.100000000000001" customHeight="1" x14ac:dyDescent="0.25"/>
    <row r="5" spans="2:15" ht="20.100000000000001" customHeight="1" x14ac:dyDescent="0.25">
      <c r="B5" s="52" t="s">
        <v>568</v>
      </c>
      <c r="C5" s="52" t="s">
        <v>567</v>
      </c>
    </row>
    <row r="6" spans="2:15" ht="20.100000000000001" customHeight="1" x14ac:dyDescent="0.25">
      <c r="C6">
        <v>0</v>
      </c>
      <c r="G6" t="s">
        <v>573</v>
      </c>
    </row>
    <row r="7" spans="2:15" ht="20.100000000000001" customHeight="1" x14ac:dyDescent="0.25">
      <c r="B7" s="52" t="s">
        <v>565</v>
      </c>
      <c r="C7">
        <v>1</v>
      </c>
      <c r="D7">
        <v>4</v>
      </c>
      <c r="E7">
        <v>5</v>
      </c>
      <c r="F7">
        <v>7</v>
      </c>
    </row>
    <row r="8" spans="2:15" ht="20.100000000000001" customHeight="1" x14ac:dyDescent="0.25">
      <c r="B8" s="53" t="s">
        <v>0</v>
      </c>
      <c r="C8" s="56">
        <v>483</v>
      </c>
      <c r="D8" s="56">
        <v>928</v>
      </c>
      <c r="E8" s="56">
        <v>2015</v>
      </c>
      <c r="F8" s="56">
        <v>1987</v>
      </c>
      <c r="G8" s="56">
        <v>5413</v>
      </c>
    </row>
    <row r="9" spans="2:15" ht="20.100000000000001" customHeight="1" x14ac:dyDescent="0.25">
      <c r="B9" s="54" t="s">
        <v>17</v>
      </c>
      <c r="C9" s="56"/>
      <c r="D9" s="56"/>
      <c r="E9" s="56"/>
      <c r="F9" s="56">
        <v>508</v>
      </c>
      <c r="G9" s="56">
        <v>508</v>
      </c>
    </row>
    <row r="10" spans="2:15" ht="20.100000000000001" customHeight="1" x14ac:dyDescent="0.25">
      <c r="B10" s="54" t="s">
        <v>24</v>
      </c>
      <c r="C10" s="56"/>
      <c r="D10" s="56">
        <v>928</v>
      </c>
      <c r="E10" s="56">
        <v>667</v>
      </c>
      <c r="F10" s="56">
        <v>1479</v>
      </c>
      <c r="G10" s="56">
        <v>3074</v>
      </c>
    </row>
    <row r="11" spans="2:15" ht="20.100000000000001" customHeight="1" x14ac:dyDescent="0.25">
      <c r="B11" s="54" t="s">
        <v>49</v>
      </c>
      <c r="C11" s="56">
        <v>483</v>
      </c>
      <c r="D11" s="56"/>
      <c r="E11" s="56">
        <v>1348</v>
      </c>
      <c r="F11" s="56"/>
      <c r="G11" s="56">
        <v>1831</v>
      </c>
    </row>
    <row r="12" spans="2:15" ht="20.100000000000001" customHeight="1" x14ac:dyDescent="0.25">
      <c r="B12" s="53" t="s">
        <v>566</v>
      </c>
      <c r="C12" s="56">
        <v>483</v>
      </c>
      <c r="D12" s="56">
        <v>928</v>
      </c>
      <c r="E12" s="56">
        <v>2015</v>
      </c>
      <c r="F12" s="56">
        <v>1987</v>
      </c>
      <c r="G12" s="56">
        <v>5413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C17"/>
  <sheetViews>
    <sheetView showGridLines="0" topLeftCell="A7" workbookViewId="0">
      <selection activeCell="D13" sqref="D13"/>
    </sheetView>
  </sheetViews>
  <sheetFormatPr defaultColWidth="0" defaultRowHeight="15" x14ac:dyDescent="0.25"/>
  <cols>
    <col min="1" max="1" width="3.28515625" customWidth="1"/>
    <col min="2" max="2" width="30.7109375" customWidth="1"/>
    <col min="3" max="15" width="11.7109375" customWidth="1"/>
    <col min="16" max="16383" width="9.140625" hidden="1"/>
    <col min="16384" max="16384" width="2.85546875" customWidth="1"/>
  </cols>
  <sheetData>
    <row r="1" spans="2:16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7" t="s">
        <v>36</v>
      </c>
    </row>
    <row r="2" spans="2:16" ht="111.9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1">
        <f ca="1">TODAY()</f>
        <v>45394</v>
      </c>
      <c r="O2" s="141"/>
      <c r="P2" s="141"/>
    </row>
    <row r="3" spans="2:16" ht="20.100000000000001" customHeight="1" x14ac:dyDescent="0.25"/>
    <row r="4" spans="2:16" ht="20.100000000000001" customHeight="1" x14ac:dyDescent="0.25">
      <c r="B4" s="52" t="s">
        <v>563</v>
      </c>
      <c r="C4" t="s">
        <v>564</v>
      </c>
    </row>
    <row r="5" spans="2:16" ht="20.100000000000001" customHeight="1" x14ac:dyDescent="0.25"/>
    <row r="6" spans="2:16" ht="20.100000000000001" customHeight="1" x14ac:dyDescent="0.25">
      <c r="B6" s="52" t="s">
        <v>568</v>
      </c>
      <c r="C6" s="52" t="s">
        <v>567</v>
      </c>
    </row>
    <row r="7" spans="2:16" ht="20.100000000000001" customHeight="1" x14ac:dyDescent="0.25">
      <c r="C7" t="s">
        <v>575</v>
      </c>
      <c r="L7" t="s">
        <v>566</v>
      </c>
    </row>
    <row r="8" spans="2:16" ht="20.100000000000001" customHeight="1" x14ac:dyDescent="0.25">
      <c r="B8" s="52" t="s">
        <v>565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</row>
    <row r="9" spans="2:16" ht="20.100000000000001" customHeight="1" x14ac:dyDescent="0.25">
      <c r="B9" s="53" t="s">
        <v>0</v>
      </c>
      <c r="C9" s="56">
        <v>928</v>
      </c>
      <c r="D9" s="56">
        <v>3736</v>
      </c>
      <c r="E9" s="56">
        <v>2224</v>
      </c>
      <c r="F9" s="56">
        <v>4545</v>
      </c>
      <c r="G9" s="56">
        <v>2757</v>
      </c>
      <c r="H9" s="56">
        <v>9236</v>
      </c>
      <c r="I9" s="56">
        <v>6093</v>
      </c>
      <c r="J9" s="56">
        <v>8256</v>
      </c>
      <c r="K9" s="56">
        <v>483</v>
      </c>
      <c r="L9" s="56">
        <v>38258</v>
      </c>
    </row>
    <row r="10" spans="2:16" ht="20.100000000000001" customHeight="1" x14ac:dyDescent="0.25">
      <c r="B10" s="54" t="s">
        <v>17</v>
      </c>
      <c r="C10" s="56"/>
      <c r="D10" s="56"/>
      <c r="E10" s="56"/>
      <c r="F10" s="56">
        <v>3878</v>
      </c>
      <c r="G10" s="56">
        <v>508</v>
      </c>
      <c r="H10" s="56"/>
      <c r="I10" s="56">
        <v>4922</v>
      </c>
      <c r="J10" s="56">
        <v>2203</v>
      </c>
      <c r="K10" s="56"/>
      <c r="L10" s="56">
        <v>11511</v>
      </c>
    </row>
    <row r="11" spans="2:16" ht="20.100000000000001" customHeight="1" x14ac:dyDescent="0.25">
      <c r="B11" s="54" t="s">
        <v>3</v>
      </c>
      <c r="C11" s="56"/>
      <c r="D11" s="56">
        <v>2388</v>
      </c>
      <c r="E11" s="56"/>
      <c r="F11" s="56"/>
      <c r="G11" s="56"/>
      <c r="H11" s="56"/>
      <c r="I11" s="56">
        <v>1171</v>
      </c>
      <c r="J11" s="56"/>
      <c r="K11" s="56"/>
      <c r="L11" s="56">
        <v>3559</v>
      </c>
    </row>
    <row r="12" spans="2:16" ht="20.100000000000001" customHeight="1" x14ac:dyDescent="0.25">
      <c r="B12" s="54" t="s">
        <v>24</v>
      </c>
      <c r="C12" s="56">
        <v>928</v>
      </c>
      <c r="D12" s="56"/>
      <c r="E12" s="56">
        <v>2224</v>
      </c>
      <c r="F12" s="56">
        <v>667</v>
      </c>
      <c r="G12" s="56">
        <v>1479</v>
      </c>
      <c r="H12" s="56">
        <v>9236</v>
      </c>
      <c r="I12" s="56"/>
      <c r="J12" s="56">
        <v>1414</v>
      </c>
      <c r="K12" s="56"/>
      <c r="L12" s="56">
        <v>15948</v>
      </c>
    </row>
    <row r="13" spans="2:16" ht="20.100000000000001" customHeight="1" x14ac:dyDescent="0.25">
      <c r="B13" s="54" t="s">
        <v>49</v>
      </c>
      <c r="C13" s="56"/>
      <c r="D13" s="56">
        <v>1348</v>
      </c>
      <c r="E13" s="56"/>
      <c r="F13" s="56"/>
      <c r="G13" s="56">
        <v>770</v>
      </c>
      <c r="H13" s="56"/>
      <c r="I13" s="56"/>
      <c r="J13" s="56">
        <v>4639</v>
      </c>
      <c r="K13" s="56">
        <v>483</v>
      </c>
      <c r="L13" s="56">
        <v>7240</v>
      </c>
    </row>
    <row r="14" spans="2:16" ht="20.100000000000001" customHeight="1" x14ac:dyDescent="0.25">
      <c r="B14" s="53" t="s">
        <v>566</v>
      </c>
      <c r="C14" s="56">
        <v>928</v>
      </c>
      <c r="D14" s="56">
        <v>3736</v>
      </c>
      <c r="E14" s="56">
        <v>2224</v>
      </c>
      <c r="F14" s="56">
        <v>4545</v>
      </c>
      <c r="G14" s="56">
        <v>2757</v>
      </c>
      <c r="H14" s="56">
        <v>9236</v>
      </c>
      <c r="I14" s="56">
        <v>6093</v>
      </c>
      <c r="J14" s="56">
        <v>8256</v>
      </c>
      <c r="K14" s="56">
        <v>483</v>
      </c>
      <c r="L14" s="56">
        <v>38258</v>
      </c>
    </row>
    <row r="15" spans="2:16" ht="20.100000000000001" customHeight="1" x14ac:dyDescent="0.25"/>
    <row r="16" spans="2:16" ht="20.100000000000001" customHeight="1" x14ac:dyDescent="0.25"/>
    <row r="17" ht="20.100000000000001" customHeight="1" x14ac:dyDescent="0.25"/>
  </sheetData>
  <mergeCells count="1">
    <mergeCell ref="N2:P2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showRowColHeaders="0" zoomScale="98" zoomScaleNormal="98" workbookViewId="0">
      <selection activeCell="B8" sqref="B8"/>
    </sheetView>
  </sheetViews>
  <sheetFormatPr defaultColWidth="0" defaultRowHeight="15" x14ac:dyDescent="0.25"/>
  <cols>
    <col min="1" max="1" width="1.7109375" customWidth="1"/>
    <col min="2" max="2" width="39.7109375" customWidth="1"/>
    <col min="3" max="3" width="1.42578125" customWidth="1"/>
    <col min="4" max="4" width="39.7109375" customWidth="1"/>
    <col min="5" max="5" width="2.5703125" customWidth="1"/>
    <col min="6" max="7" width="16.28515625" customWidth="1"/>
    <col min="8" max="8" width="2.140625" customWidth="1"/>
    <col min="9" max="10" width="16.28515625" customWidth="1"/>
    <col min="11" max="11" width="1.85546875" customWidth="1"/>
    <col min="12" max="12" width="16.28515625" customWidth="1"/>
    <col min="13" max="13" width="20.140625" customWidth="1"/>
    <col min="14" max="14" width="10" customWidth="1"/>
    <col min="15" max="15" width="9.140625" customWidth="1"/>
    <col min="16" max="16384" width="9.140625" hidden="1"/>
  </cols>
  <sheetData>
    <row r="1" spans="2:13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7" t="s">
        <v>586</v>
      </c>
    </row>
    <row r="2" spans="2:13" ht="36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61"/>
      <c r="M2" s="61">
        <v>2019</v>
      </c>
    </row>
    <row r="3" spans="2:13" ht="9.9499999999999993" customHeight="1" x14ac:dyDescent="0.25"/>
    <row r="4" spans="2:13" ht="18" customHeight="1" x14ac:dyDescent="0.3">
      <c r="B4" s="97" t="s">
        <v>576</v>
      </c>
      <c r="D4" s="97" t="s">
        <v>577</v>
      </c>
      <c r="F4" s="154" t="s">
        <v>579</v>
      </c>
      <c r="G4" s="155"/>
      <c r="H4" s="155"/>
      <c r="I4" s="155"/>
      <c r="J4" s="155"/>
      <c r="K4" s="98"/>
      <c r="L4" s="152" t="s">
        <v>17</v>
      </c>
      <c r="M4" s="153"/>
    </row>
    <row r="5" spans="2:13" ht="21.95" customHeight="1" x14ac:dyDescent="0.35">
      <c r="B5" s="124">
        <f>'Dashboard financeiro anualD'!D12</f>
        <v>-3097</v>
      </c>
      <c r="D5" s="125" t="s">
        <v>612</v>
      </c>
      <c r="F5" s="62"/>
      <c r="G5" s="63"/>
      <c r="H5" s="63"/>
      <c r="I5" s="63"/>
      <c r="J5" s="63"/>
      <c r="K5" s="63"/>
      <c r="L5" s="63"/>
      <c r="M5" s="64"/>
    </row>
    <row r="6" spans="2:13" ht="11.25" customHeight="1" x14ac:dyDescent="0.25">
      <c r="F6" s="62"/>
      <c r="G6" s="63"/>
      <c r="H6" s="63"/>
      <c r="I6" s="63"/>
      <c r="J6" s="63"/>
      <c r="K6" s="63"/>
      <c r="L6" s="63"/>
      <c r="M6" s="64"/>
    </row>
    <row r="7" spans="2:13" ht="18" customHeight="1" x14ac:dyDescent="0.25">
      <c r="B7" s="97" t="s">
        <v>34</v>
      </c>
      <c r="D7" s="150"/>
      <c r="F7" s="62"/>
      <c r="G7" s="63"/>
      <c r="H7" s="63"/>
      <c r="I7" s="63"/>
      <c r="J7" s="63"/>
      <c r="K7" s="63"/>
      <c r="L7" s="156" t="s">
        <v>580</v>
      </c>
      <c r="M7" s="157"/>
    </row>
    <row r="8" spans="2:13" ht="21.95" customHeight="1" x14ac:dyDescent="0.4">
      <c r="B8" s="124">
        <f>'Dashboard financeiro anualD'!E14</f>
        <v>12009</v>
      </c>
      <c r="D8" s="151"/>
      <c r="F8" s="62"/>
      <c r="G8" s="63"/>
      <c r="H8" s="63"/>
      <c r="I8" s="63"/>
      <c r="J8" s="63"/>
      <c r="K8" s="99">
        <v>9999</v>
      </c>
      <c r="L8" s="158">
        <f>SUM('Dashboard financeiro anualD'!K6:K17)</f>
        <v>16853</v>
      </c>
      <c r="M8" s="159"/>
    </row>
    <row r="9" spans="2:13" ht="12.75" customHeight="1" x14ac:dyDescent="0.25">
      <c r="F9" s="62"/>
      <c r="G9" s="63"/>
      <c r="H9" s="63"/>
      <c r="I9" s="63"/>
      <c r="J9" s="63"/>
      <c r="K9" s="63"/>
      <c r="L9" s="63"/>
      <c r="M9" s="64"/>
    </row>
    <row r="10" spans="2:13" ht="18" customHeight="1" x14ac:dyDescent="0.25">
      <c r="B10" s="97" t="s">
        <v>35</v>
      </c>
      <c r="D10" s="150"/>
      <c r="F10" s="62"/>
      <c r="G10" s="63"/>
      <c r="H10" s="63"/>
      <c r="I10" s="63"/>
      <c r="J10" s="63"/>
      <c r="K10" s="63"/>
      <c r="L10" s="63"/>
      <c r="M10" s="64"/>
    </row>
    <row r="11" spans="2:13" ht="21.95" customHeight="1" x14ac:dyDescent="0.35">
      <c r="B11" s="124">
        <f>'Dashboard financeiro anualD'!E15</f>
        <v>5413</v>
      </c>
      <c r="D11" s="151"/>
      <c r="F11" s="65"/>
      <c r="G11" s="66"/>
      <c r="H11" s="66"/>
      <c r="I11" s="66"/>
      <c r="J11" s="66"/>
      <c r="K11" s="66"/>
      <c r="L11" s="66"/>
      <c r="M11" s="67"/>
    </row>
    <row r="12" spans="2:13" ht="9.9499999999999993" customHeight="1" x14ac:dyDescent="0.25"/>
    <row r="13" spans="2:13" ht="24.95" customHeight="1" x14ac:dyDescent="0.35">
      <c r="B13" s="160" t="s">
        <v>578</v>
      </c>
      <c r="C13" s="161"/>
      <c r="D13" s="162"/>
      <c r="F13" s="148" t="s">
        <v>581</v>
      </c>
      <c r="G13" s="163"/>
      <c r="I13" s="148" t="s">
        <v>584</v>
      </c>
      <c r="J13" s="163"/>
      <c r="L13" s="148" t="s">
        <v>585</v>
      </c>
      <c r="M13" s="149"/>
    </row>
    <row r="14" spans="2:13" ht="12" customHeight="1" x14ac:dyDescent="0.25">
      <c r="B14" s="62"/>
      <c r="C14" s="63"/>
      <c r="D14" s="64"/>
      <c r="F14" s="62"/>
      <c r="G14" s="64"/>
      <c r="I14" s="62"/>
      <c r="J14" s="64"/>
      <c r="L14" s="62"/>
      <c r="M14" s="122"/>
    </row>
    <row r="15" spans="2:13" ht="19.5" customHeight="1" x14ac:dyDescent="0.35">
      <c r="B15" s="108">
        <f>'Dashboard financeiro anualD'!F23</f>
        <v>130659</v>
      </c>
      <c r="C15" s="63"/>
      <c r="D15" s="64"/>
      <c r="F15" s="117" t="s">
        <v>582</v>
      </c>
      <c r="G15" s="118" t="s">
        <v>583</v>
      </c>
      <c r="I15" s="144">
        <f>'Dashboard financeiro anualD'!F33</f>
        <v>-39131</v>
      </c>
      <c r="J15" s="145"/>
      <c r="L15" s="146" t="s">
        <v>77</v>
      </c>
      <c r="M15" s="147"/>
    </row>
    <row r="16" spans="2:13" ht="24.95" customHeight="1" x14ac:dyDescent="0.35">
      <c r="B16" s="62"/>
      <c r="C16" s="63"/>
      <c r="D16" s="64"/>
      <c r="F16" s="126">
        <f ca="1">'Dashboard financeiro anualD'!F28</f>
        <v>1678.4852461263829</v>
      </c>
      <c r="G16" s="127">
        <f ca="1">'Dashboard financeiro anualD'!K27</f>
        <v>366.58563975176094</v>
      </c>
      <c r="I16" s="142"/>
      <c r="J16" s="143"/>
      <c r="L16" s="62"/>
      <c r="M16" s="123">
        <f>'Dashboard financeiro anualD'!I45</f>
        <v>71155</v>
      </c>
    </row>
    <row r="17" spans="2:13" ht="24.95" customHeight="1" x14ac:dyDescent="0.35">
      <c r="B17" s="62"/>
      <c r="C17" s="63"/>
      <c r="D17" s="64"/>
      <c r="F17" s="119" t="s">
        <v>605</v>
      </c>
      <c r="G17" s="120" t="s">
        <v>605</v>
      </c>
      <c r="I17" s="62"/>
      <c r="J17" s="64"/>
      <c r="L17" s="62"/>
      <c r="M17" s="64"/>
    </row>
    <row r="18" spans="2:13" ht="42" customHeight="1" x14ac:dyDescent="0.3">
      <c r="B18" s="65"/>
      <c r="C18" s="66"/>
      <c r="D18" s="67"/>
      <c r="F18" s="109"/>
      <c r="G18" s="110"/>
      <c r="I18" s="109"/>
      <c r="J18" s="110"/>
      <c r="L18" s="109"/>
      <c r="M18" s="110"/>
    </row>
  </sheetData>
  <mergeCells count="13">
    <mergeCell ref="L4:M4"/>
    <mergeCell ref="F4:J4"/>
    <mergeCell ref="L7:M7"/>
    <mergeCell ref="L8:M8"/>
    <mergeCell ref="B13:D13"/>
    <mergeCell ref="F13:G13"/>
    <mergeCell ref="I13:J13"/>
    <mergeCell ref="I16:J16"/>
    <mergeCell ref="I15:J15"/>
    <mergeCell ref="L15:M15"/>
    <mergeCell ref="L13:M13"/>
    <mergeCell ref="D7:D8"/>
    <mergeCell ref="D10:D11"/>
  </mergeCells>
  <conditionalFormatting sqref="B5">
    <cfRule type="cellIs" dxfId="21" priority="4" operator="lessThan">
      <formula>0</formula>
    </cfRule>
  </conditionalFormatting>
  <conditionalFormatting sqref="B8">
    <cfRule type="cellIs" dxfId="20" priority="3" operator="lessThan">
      <formula>0</formula>
    </cfRule>
  </conditionalFormatting>
  <conditionalFormatting sqref="B11">
    <cfRule type="cellIs" dxfId="19" priority="2" operator="lessThan">
      <formula>0</formula>
    </cfRule>
  </conditionalFormatting>
  <conditionalFormatting sqref="B15">
    <cfRule type="cellIs" dxfId="18" priority="1" operator="lessThan">
      <formula>0</formula>
    </cfRule>
  </conditionalFormatting>
  <dataValidations count="2">
    <dataValidation type="list" allowBlank="1" showInputMessage="1" showErrorMessage="1" sqref="L4:M4">
      <formula1>pcEntradasN2N2</formula1>
    </dataValidation>
    <dataValidation type="list" allowBlank="1" showInputMessage="1" showErrorMessage="1" sqref="L15">
      <formula1>SaidasN2N2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financeiro anualD'!I6:I17</xm:f>
              <xm:sqref>D10</xm:sqref>
            </x14:sparkline>
          </x14:sparklines>
        </x14:sparklineGroup>
        <x14:sparklineGroup type="column" displayEmptyCellsAs="gap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financeiro anualD'!H6:H17</xm:f>
              <xm:sqref>D7</xm:sqref>
            </x14:sparkline>
          </x14:sparklines>
        </x14:sparklineGroup>
        <x14:sparklineGroup type="column" displayEmptyCellsAs="gap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financeiro anualD'!H6:H17</xm:f>
              <xm:sqref>D11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zoomScale="98" zoomScaleNormal="98" workbookViewId="0"/>
  </sheetViews>
  <sheetFormatPr defaultColWidth="0" defaultRowHeight="15" x14ac:dyDescent="0.25"/>
  <cols>
    <col min="1" max="1" width="1.7109375" customWidth="1"/>
    <col min="2" max="2" width="39.7109375" customWidth="1"/>
    <col min="3" max="3" width="1.42578125" customWidth="1"/>
    <col min="4" max="4" width="39.7109375" customWidth="1"/>
    <col min="5" max="5" width="2.5703125" customWidth="1"/>
    <col min="6" max="7" width="16.28515625" customWidth="1"/>
    <col min="8" max="8" width="2.140625" customWidth="1"/>
    <col min="9" max="10" width="16.28515625" customWidth="1"/>
    <col min="11" max="11" width="1.85546875" customWidth="1"/>
    <col min="12" max="12" width="16.28515625" customWidth="1"/>
    <col min="13" max="13" width="20.140625" customWidth="1"/>
    <col min="14" max="14" width="10" customWidth="1"/>
    <col min="15" max="15" width="9.140625" customWidth="1"/>
    <col min="16" max="16384" width="9.140625" hidden="1"/>
  </cols>
  <sheetData>
    <row r="1" spans="2:13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7" t="s">
        <v>586</v>
      </c>
    </row>
    <row r="2" spans="2:13" ht="36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61"/>
      <c r="M2" s="128">
        <v>43679</v>
      </c>
    </row>
    <row r="3" spans="2:13" ht="9.9499999999999993" customHeight="1" x14ac:dyDescent="0.25"/>
    <row r="4" spans="2:13" ht="18" customHeight="1" x14ac:dyDescent="0.3">
      <c r="B4" s="111" t="s">
        <v>576</v>
      </c>
      <c r="D4" s="111" t="s">
        <v>577</v>
      </c>
      <c r="F4" s="154" t="s">
        <v>579</v>
      </c>
      <c r="G4" s="155"/>
      <c r="H4" s="155"/>
      <c r="I4" s="155"/>
      <c r="J4" s="155"/>
      <c r="K4" s="112"/>
      <c r="L4" s="152" t="s">
        <v>5</v>
      </c>
      <c r="M4" s="153"/>
    </row>
    <row r="5" spans="2:13" ht="21.95" customHeight="1" x14ac:dyDescent="0.35">
      <c r="B5" s="124">
        <f>'Dashboard financeiro atualD'!D12</f>
        <v>-2189</v>
      </c>
      <c r="D5" s="125" t="s">
        <v>612</v>
      </c>
      <c r="F5" s="62"/>
      <c r="G5" s="63"/>
      <c r="H5" s="63"/>
      <c r="I5" s="63"/>
      <c r="J5" s="63"/>
      <c r="K5" s="63"/>
      <c r="L5" s="63"/>
      <c r="M5" s="64"/>
    </row>
    <row r="6" spans="2:13" ht="11.25" customHeight="1" x14ac:dyDescent="0.25">
      <c r="F6" s="62"/>
      <c r="G6" s="63"/>
      <c r="H6" s="63"/>
      <c r="I6" s="63"/>
      <c r="J6" s="63"/>
      <c r="K6" s="63"/>
      <c r="L6" s="63"/>
      <c r="M6" s="64"/>
    </row>
    <row r="7" spans="2:13" ht="18" customHeight="1" x14ac:dyDescent="0.25">
      <c r="B7" s="111" t="s">
        <v>34</v>
      </c>
      <c r="D7" s="150"/>
      <c r="F7" s="62"/>
      <c r="G7" s="63"/>
      <c r="H7" s="63"/>
      <c r="I7" s="63"/>
      <c r="J7" s="63"/>
      <c r="K7" s="63"/>
      <c r="L7" s="156" t="s">
        <v>580</v>
      </c>
      <c r="M7" s="157"/>
    </row>
    <row r="8" spans="2:13" ht="21.95" customHeight="1" x14ac:dyDescent="0.4">
      <c r="B8" s="124">
        <f>'Dashboard financeiro atualD'!E14</f>
        <v>9250</v>
      </c>
      <c r="D8" s="151"/>
      <c r="F8" s="62"/>
      <c r="G8" s="63"/>
      <c r="H8" s="63"/>
      <c r="I8" s="63"/>
      <c r="J8" s="63"/>
      <c r="K8" s="99">
        <v>9999</v>
      </c>
      <c r="L8" s="158">
        <f>SUM('Dashboard financeiro atualD'!K6:K17)</f>
        <v>26160</v>
      </c>
      <c r="M8" s="159"/>
    </row>
    <row r="9" spans="2:13" ht="12.75" customHeight="1" x14ac:dyDescent="0.25">
      <c r="F9" s="62"/>
      <c r="G9" s="63"/>
      <c r="H9" s="63"/>
      <c r="I9" s="63"/>
      <c r="J9" s="63"/>
      <c r="K9" s="63"/>
      <c r="L9" s="63"/>
      <c r="M9" s="64"/>
    </row>
    <row r="10" spans="2:13" ht="18" customHeight="1" x14ac:dyDescent="0.25">
      <c r="B10" s="111" t="s">
        <v>35</v>
      </c>
      <c r="D10" s="150"/>
      <c r="F10" s="62"/>
      <c r="G10" s="63"/>
      <c r="H10" s="63"/>
      <c r="I10" s="63"/>
      <c r="J10" s="63"/>
      <c r="K10" s="63"/>
      <c r="L10" s="63"/>
      <c r="M10" s="64"/>
    </row>
    <row r="11" spans="2:13" ht="21.95" customHeight="1" x14ac:dyDescent="0.35">
      <c r="B11" s="124">
        <f>'Dashboard financeiro atualD'!E15</f>
        <v>5413</v>
      </c>
      <c r="D11" s="151"/>
      <c r="F11" s="65"/>
      <c r="G11" s="66"/>
      <c r="H11" s="66"/>
      <c r="I11" s="66"/>
      <c r="J11" s="66"/>
      <c r="K11" s="66"/>
      <c r="L11" s="66"/>
      <c r="M11" s="67"/>
    </row>
    <row r="12" spans="2:13" ht="9.9499999999999993" customHeight="1" x14ac:dyDescent="0.25"/>
    <row r="13" spans="2:13" ht="24.95" customHeight="1" x14ac:dyDescent="0.35">
      <c r="B13" s="160" t="s">
        <v>578</v>
      </c>
      <c r="C13" s="161"/>
      <c r="D13" s="162"/>
      <c r="F13" s="148" t="s">
        <v>581</v>
      </c>
      <c r="G13" s="163"/>
      <c r="I13" s="148" t="s">
        <v>584</v>
      </c>
      <c r="J13" s="163"/>
      <c r="L13" s="148" t="s">
        <v>585</v>
      </c>
      <c r="M13" s="149"/>
    </row>
    <row r="14" spans="2:13" ht="12" customHeight="1" x14ac:dyDescent="0.25">
      <c r="B14" s="62"/>
      <c r="C14" s="63"/>
      <c r="D14" s="64"/>
      <c r="F14" s="62"/>
      <c r="G14" s="64"/>
      <c r="I14" s="62"/>
      <c r="J14" s="64"/>
      <c r="L14" s="62"/>
      <c r="M14" s="122"/>
    </row>
    <row r="15" spans="2:13" ht="19.5" customHeight="1" x14ac:dyDescent="0.35">
      <c r="B15" s="108">
        <f>'Dashboard financeiro atualD'!F23</f>
        <v>130659</v>
      </c>
      <c r="C15" s="63"/>
      <c r="D15" s="64"/>
      <c r="F15" s="117" t="s">
        <v>582</v>
      </c>
      <c r="G15" s="118" t="s">
        <v>583</v>
      </c>
      <c r="I15" s="144">
        <f>'Dashboard financeiro atualD'!F33</f>
        <v>-39131</v>
      </c>
      <c r="J15" s="145"/>
      <c r="L15" s="146" t="s">
        <v>77</v>
      </c>
      <c r="M15" s="147"/>
    </row>
    <row r="16" spans="2:13" ht="24.95" customHeight="1" x14ac:dyDescent="0.35">
      <c r="B16" s="62"/>
      <c r="C16" s="63"/>
      <c r="D16" s="64"/>
      <c r="F16" s="126">
        <f ca="1">'Dashboard financeiro atualD'!F28</f>
        <v>1678.4852461263829</v>
      </c>
      <c r="G16" s="127">
        <f ca="1">'Dashboard financeiro atualD'!K28</f>
        <v>366.58563975176094</v>
      </c>
      <c r="I16" s="142"/>
      <c r="J16" s="143"/>
      <c r="L16" s="62"/>
      <c r="M16" s="123">
        <f>'Dashboard financeiro anualD'!I45</f>
        <v>71155</v>
      </c>
    </row>
    <row r="17" spans="2:13" ht="24.95" customHeight="1" x14ac:dyDescent="0.35">
      <c r="B17" s="62"/>
      <c r="C17" s="63"/>
      <c r="D17" s="64"/>
      <c r="F17" s="119" t="s">
        <v>605</v>
      </c>
      <c r="G17" s="120" t="s">
        <v>605</v>
      </c>
      <c r="I17" s="62"/>
      <c r="J17" s="64"/>
      <c r="L17" s="62"/>
      <c r="M17" s="64"/>
    </row>
    <row r="18" spans="2:13" ht="42" customHeight="1" x14ac:dyDescent="0.3">
      <c r="B18" s="65"/>
      <c r="C18" s="66"/>
      <c r="D18" s="67"/>
      <c r="F18" s="109"/>
      <c r="G18" s="110"/>
      <c r="I18" s="109"/>
      <c r="J18" s="110"/>
      <c r="L18" s="109"/>
      <c r="M18" s="110"/>
    </row>
  </sheetData>
  <mergeCells count="13">
    <mergeCell ref="D10:D11"/>
    <mergeCell ref="D7:D8"/>
    <mergeCell ref="B13:D13"/>
    <mergeCell ref="F4:J4"/>
    <mergeCell ref="L4:M4"/>
    <mergeCell ref="L7:M7"/>
    <mergeCell ref="L8:M8"/>
    <mergeCell ref="I16:J16"/>
    <mergeCell ref="F13:G13"/>
    <mergeCell ref="I13:J13"/>
    <mergeCell ref="L13:M13"/>
    <mergeCell ref="I15:J15"/>
    <mergeCell ref="L15:M15"/>
  </mergeCells>
  <conditionalFormatting sqref="B5">
    <cfRule type="cellIs" dxfId="17" priority="4" operator="lessThan">
      <formula>0</formula>
    </cfRule>
  </conditionalFormatting>
  <conditionalFormatting sqref="B8">
    <cfRule type="cellIs" dxfId="16" priority="3" operator="lessThan">
      <formula>0</formula>
    </cfRule>
  </conditionalFormatting>
  <conditionalFormatting sqref="B11">
    <cfRule type="cellIs" dxfId="15" priority="2" operator="lessThan">
      <formula>0</formula>
    </cfRule>
  </conditionalFormatting>
  <conditionalFormatting sqref="B15">
    <cfRule type="cellIs" dxfId="14" priority="1" operator="lessThan">
      <formula>0</formula>
    </cfRule>
  </conditionalFormatting>
  <dataValidations count="2">
    <dataValidation type="list" allowBlank="1" showInputMessage="1" showErrorMessage="1" sqref="L15">
      <formula1>SaidasN2N2</formula1>
    </dataValidation>
    <dataValidation type="list" allowBlank="1" showInputMessage="1" showErrorMessage="1" sqref="L4:M4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financeiro atualD'!I6:I17</xm:f>
              <xm:sqref>D10</xm:sqref>
            </x14:sparkline>
          </x14:sparklines>
        </x14:sparklineGroup>
        <x14:sparklineGroup type="column" displayEmptyCellsAs="gap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financeiro atualD'!H6:H17</xm:f>
              <xm:sqref>D7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showGridLines="0" topLeftCell="A22" workbookViewId="0">
      <selection activeCell="I34" sqref="I34"/>
    </sheetView>
  </sheetViews>
  <sheetFormatPr defaultRowHeight="15" x14ac:dyDescent="0.25"/>
  <cols>
    <col min="3" max="3" width="12.42578125" customWidth="1"/>
    <col min="4" max="6" width="11.5703125" bestFit="1" customWidth="1"/>
    <col min="8" max="8" width="15.85546875" customWidth="1"/>
    <col min="9" max="9" width="14.42578125" customWidth="1"/>
    <col min="10" max="10" width="10.5703125" customWidth="1"/>
    <col min="11" max="11" width="19.28515625" bestFit="1" customWidth="1"/>
    <col min="12" max="12" width="9.5703125" bestFit="1" customWidth="1"/>
  </cols>
  <sheetData>
    <row r="2" spans="2:13" x14ac:dyDescent="0.25">
      <c r="B2" s="68"/>
      <c r="C2" s="69" t="s">
        <v>587</v>
      </c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2:13" x14ac:dyDescent="0.25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2:13" x14ac:dyDescent="0.25">
      <c r="B4" s="68"/>
      <c r="C4" s="68"/>
      <c r="D4" s="68"/>
      <c r="E4" s="68"/>
      <c r="F4" s="68"/>
      <c r="G4" s="70" t="s">
        <v>588</v>
      </c>
      <c r="H4" s="68"/>
      <c r="I4" s="68"/>
      <c r="J4" s="68"/>
      <c r="K4" s="70" t="s">
        <v>589</v>
      </c>
      <c r="L4" s="71" t="s">
        <v>590</v>
      </c>
      <c r="M4" s="72">
        <f>D5</f>
        <v>2019</v>
      </c>
    </row>
    <row r="5" spans="2:13" ht="30" x14ac:dyDescent="0.25">
      <c r="B5" s="68"/>
      <c r="C5" s="71" t="s">
        <v>591</v>
      </c>
      <c r="D5" s="73">
        <f>'Dashboard financeiro anual'!M2</f>
        <v>2019</v>
      </c>
      <c r="E5" s="68"/>
      <c r="F5" s="68"/>
      <c r="G5" s="74" t="s">
        <v>592</v>
      </c>
      <c r="H5" s="101" t="s">
        <v>610</v>
      </c>
      <c r="I5" s="101" t="s">
        <v>611</v>
      </c>
      <c r="J5" s="68"/>
      <c r="K5" s="76" t="str">
        <f>'Dashboard financeiro anual'!L4</f>
        <v>Eletrodomésticos</v>
      </c>
      <c r="L5" s="74" t="s">
        <v>593</v>
      </c>
      <c r="M5" s="74" t="s">
        <v>592</v>
      </c>
    </row>
    <row r="6" spans="2:13" x14ac:dyDescent="0.25">
      <c r="B6" s="68"/>
      <c r="C6" s="68"/>
      <c r="D6" s="68"/>
      <c r="E6" s="68"/>
      <c r="F6" s="68"/>
      <c r="G6" s="77">
        <v>1</v>
      </c>
      <c r="H6" s="104">
        <f>SUMIFS(TbRegistrosSaida[Valor],TbRegistrosSaida[Mês previsto],G6,TbRegistrosSaida[Ano Previsto],$D$5,TbRegistrosSaida[Data do Caixa Realizado],"")</f>
        <v>5159</v>
      </c>
      <c r="I6" s="107">
        <f>SUMIFS(TbRegistroEntradas[Valor],TbRegistroEntradas[Mês previsto],G6,TbRegistroEntradas[Ano Previsto],$D$5,TbRegistroEntradas[Data do Caixa Realizado],"")</f>
        <v>483</v>
      </c>
      <c r="J6" s="68"/>
      <c r="K6" s="78">
        <f>SUMIFS(TbRegistroEntradas[Valor],TbRegistroEntradas[Conta Nível 2],$K$5,TbRegistroEntradas[Ano 
Competência],$M$4,TbRegistroEntradas[Mês 
Competência],G6)</f>
        <v>4993</v>
      </c>
      <c r="L6" s="78">
        <f>IF(K6=0,"Não Disp",K6)</f>
        <v>4993</v>
      </c>
      <c r="M6" s="79" t="s">
        <v>540</v>
      </c>
    </row>
    <row r="7" spans="2:13" x14ac:dyDescent="0.25">
      <c r="B7" s="68"/>
      <c r="C7" s="68"/>
      <c r="D7" s="68"/>
      <c r="E7" s="68"/>
      <c r="F7" s="68"/>
      <c r="G7" s="68">
        <v>2</v>
      </c>
      <c r="H7" s="105">
        <f>SUMIFS(TbRegistrosSaida[Valor],TbRegistrosSaida[Mês previsto],G7,TbRegistrosSaida[Ano Previsto],$D$5,TbRegistrosSaida[Data do Caixa Realizado],"")</f>
        <v>0</v>
      </c>
      <c r="I7" s="102">
        <f>SUMIFS(TbRegistroEntradas[Valor],TbRegistroEntradas[Mês previsto],G7,TbRegistroEntradas[Ano Previsto],$D$5,TbRegistroEntradas[Data do Caixa Realizado],"")</f>
        <v>928</v>
      </c>
      <c r="J7" s="68"/>
      <c r="K7" s="80">
        <f>SUMIFS(TbRegistroEntradas[Valor],TbRegistroEntradas[Conta Nível 2],$K$5,TbRegistroEntradas[Ano 
Competência],$M$4,TbRegistroEntradas[Mês 
Competência],G7)</f>
        <v>4461</v>
      </c>
      <c r="L7" s="80">
        <f t="shared" ref="L7:L17" si="0">IF(K7=0,"Não Disp",K7)</f>
        <v>4461</v>
      </c>
      <c r="M7" s="71" t="s">
        <v>541</v>
      </c>
    </row>
    <row r="8" spans="2:13" x14ac:dyDescent="0.25">
      <c r="B8" s="68"/>
      <c r="C8" s="70" t="s">
        <v>594</v>
      </c>
      <c r="D8" s="68"/>
      <c r="E8" s="68"/>
      <c r="F8" s="68"/>
      <c r="G8" s="68">
        <v>3</v>
      </c>
      <c r="H8" s="105">
        <f>SUMIFS(TbRegistrosSaida[Valor],TbRegistrosSaida[Mês previsto],G8,TbRegistrosSaida[Ano Previsto],$D$5,TbRegistrosSaida[Data do Caixa Realizado],"")</f>
        <v>0</v>
      </c>
      <c r="I8" s="102">
        <f>SUMIFS(TbRegistroEntradas[Valor],TbRegistroEntradas[Mês previsto],G8,TbRegistroEntradas[Ano Previsto],$D$5,TbRegistroEntradas[Data do Caixa Realizado],"")</f>
        <v>0</v>
      </c>
      <c r="J8" s="68"/>
      <c r="K8" s="80">
        <f>SUMIFS(TbRegistroEntradas[Valor],TbRegistroEntradas[Conta Nível 2],$K$5,TbRegistroEntradas[Ano 
Competência],$M$4,TbRegistroEntradas[Mês 
Competência],G8)</f>
        <v>0</v>
      </c>
      <c r="L8" s="80" t="str">
        <f t="shared" si="0"/>
        <v>Não Disp</v>
      </c>
      <c r="M8" s="71" t="s">
        <v>542</v>
      </c>
    </row>
    <row r="9" spans="2:13" x14ac:dyDescent="0.25">
      <c r="B9" s="68"/>
      <c r="C9" s="77" t="s">
        <v>552</v>
      </c>
      <c r="D9" s="81">
        <f>SUMIFS(TbRegistroEntradas[Valor],TbRegistroEntradas[Ano Caixa],"&lt;"&amp;D5,TbRegistroEntradas[Ano Caixa],"&lt;&gt;0")-SUMIFS(TbRegistrosSaida[Valor],TbRegistrosSaida[Ano Caixa],"&lt;"&amp;D5,TbRegistrosSaida[Ano Caixa],"&lt;&gt;0")</f>
        <v>14746</v>
      </c>
      <c r="E9" s="100"/>
      <c r="F9" s="68"/>
      <c r="G9" s="68">
        <v>4</v>
      </c>
      <c r="H9" s="105">
        <f>SUMIFS(TbRegistrosSaida[Valor],TbRegistrosSaida[Mês previsto],G9,TbRegistrosSaida[Ano Previsto],$D$5,TbRegistrosSaida[Data do Caixa Realizado],"")</f>
        <v>1753</v>
      </c>
      <c r="I9" s="102">
        <f>SUMIFS(TbRegistroEntradas[Valor],TbRegistroEntradas[Mês previsto],G9,TbRegistroEntradas[Ano Previsto],$D$5,TbRegistroEntradas[Data do Caixa Realizado],"")</f>
        <v>0</v>
      </c>
      <c r="J9" s="68"/>
      <c r="K9" s="80">
        <f>SUMIFS(TbRegistroEntradas[Valor],TbRegistroEntradas[Conta Nível 2],$K$5,TbRegistroEntradas[Ano 
Competência],$M$4,TbRegistroEntradas[Mês 
Competência],G9)</f>
        <v>0</v>
      </c>
      <c r="L9" s="80" t="str">
        <f t="shared" si="0"/>
        <v>Não Disp</v>
      </c>
      <c r="M9" s="71" t="s">
        <v>543</v>
      </c>
    </row>
    <row r="10" spans="2:13" x14ac:dyDescent="0.25">
      <c r="B10" s="68"/>
      <c r="C10" s="68" t="s">
        <v>537</v>
      </c>
      <c r="D10" s="82">
        <f>SUMIFS(TbRegistroEntradas[Valor],TbRegistroEntradas[Ano Caixa],"="&amp;D5)</f>
        <v>161998</v>
      </c>
      <c r="E10" s="68"/>
      <c r="F10" s="68"/>
      <c r="G10" s="68">
        <v>5</v>
      </c>
      <c r="H10" s="105">
        <f>SUMIFS(TbRegistrosSaida[Valor],TbRegistrosSaida[Mês previsto],G10,TbRegistrosSaida[Ano Previsto],$D$5,TbRegistrosSaida[Data do Caixa Realizado],"")</f>
        <v>0</v>
      </c>
      <c r="I10" s="102">
        <f>SUMIFS(TbRegistroEntradas[Valor],TbRegistroEntradas[Mês previsto],G10,TbRegistroEntradas[Ano Previsto],$D$5,TbRegistroEntradas[Data do Caixa Realizado],"")</f>
        <v>2015</v>
      </c>
      <c r="J10" s="68"/>
      <c r="K10" s="80">
        <f>SUMIFS(TbRegistroEntradas[Valor],TbRegistroEntradas[Conta Nível 2],$K$5,TbRegistroEntradas[Ano 
Competência],$M$4,TbRegistroEntradas[Mês 
Competência],G10)</f>
        <v>4535</v>
      </c>
      <c r="L10" s="80">
        <f t="shared" si="0"/>
        <v>4535</v>
      </c>
      <c r="M10" s="71" t="s">
        <v>544</v>
      </c>
    </row>
    <row r="11" spans="2:13" x14ac:dyDescent="0.25">
      <c r="B11" s="68"/>
      <c r="C11" s="68" t="s">
        <v>538</v>
      </c>
      <c r="D11" s="82">
        <f>SUMIFS(TbRegistrosSaida[Valor],TbRegistrosSaida[Ano Caixa],"="&amp;D5)</f>
        <v>179841</v>
      </c>
      <c r="E11" s="68"/>
      <c r="F11" s="68"/>
      <c r="G11" s="68">
        <v>6</v>
      </c>
      <c r="H11" s="105">
        <f>SUMIFS(TbRegistrosSaida[Valor],TbRegistrosSaida[Mês previsto],G11,TbRegistrosSaida[Ano Previsto],$D$5,TbRegistrosSaida[Data do Caixa Realizado],"")</f>
        <v>0</v>
      </c>
      <c r="I11" s="102">
        <f>SUMIFS(TbRegistroEntradas[Valor],TbRegistroEntradas[Mês previsto],G11,TbRegistroEntradas[Ano Previsto],$D$5,TbRegistroEntradas[Data do Caixa Realizado],"")</f>
        <v>0</v>
      </c>
      <c r="J11" s="68"/>
      <c r="K11" s="80">
        <f>SUMIFS(TbRegistroEntradas[Valor],TbRegistroEntradas[Conta Nível 2],$K$5,TbRegistroEntradas[Ano 
Competência],$M$4,TbRegistroEntradas[Mês 
Competência],G11)</f>
        <v>2864</v>
      </c>
      <c r="L11" s="80">
        <f t="shared" si="0"/>
        <v>2864</v>
      </c>
      <c r="M11" s="71" t="s">
        <v>545</v>
      </c>
    </row>
    <row r="12" spans="2:13" x14ac:dyDescent="0.25">
      <c r="B12" s="68"/>
      <c r="C12" s="83" t="s">
        <v>595</v>
      </c>
      <c r="D12" s="84">
        <f>D9+D10-D11</f>
        <v>-3097</v>
      </c>
      <c r="E12" s="68"/>
      <c r="F12" s="68"/>
      <c r="G12" s="68">
        <v>7</v>
      </c>
      <c r="H12" s="105">
        <f>SUMIFS(TbRegistrosSaida[Valor],TbRegistrosSaida[Mês previsto],G12,TbRegistrosSaida[Ano Previsto],$D$5,TbRegistrosSaida[Data do Caixa Realizado],"")</f>
        <v>2338</v>
      </c>
      <c r="I12" s="102">
        <f>SUMIFS(TbRegistroEntradas[Valor],TbRegistroEntradas[Mês previsto],G12,TbRegistroEntradas[Ano Previsto],$D$5,TbRegistroEntradas[Data do Caixa Realizado],"")</f>
        <v>1987</v>
      </c>
      <c r="J12" s="68"/>
      <c r="K12" s="80">
        <f>SUMIFS(TbRegistroEntradas[Valor],TbRegistroEntradas[Conta Nível 2],$K$5,TbRegistroEntradas[Ano 
Competência],$M$4,TbRegistroEntradas[Mês 
Competência],G12)</f>
        <v>0</v>
      </c>
      <c r="L12" s="80" t="str">
        <f t="shared" si="0"/>
        <v>Não Disp</v>
      </c>
      <c r="M12" s="71" t="s">
        <v>546</v>
      </c>
    </row>
    <row r="13" spans="2:13" x14ac:dyDescent="0.25">
      <c r="B13" s="68"/>
      <c r="C13" s="68"/>
      <c r="D13" s="68"/>
      <c r="E13" s="100"/>
      <c r="F13" s="68"/>
      <c r="G13" s="68">
        <v>8</v>
      </c>
      <c r="H13" s="105">
        <f>SUMIFS(TbRegistrosSaida[Valor],TbRegistrosSaida[Mês previsto],G13,TbRegistrosSaida[Ano Previsto],$D$5,TbRegistrosSaida[Data do Caixa Realizado],"")</f>
        <v>2759</v>
      </c>
      <c r="I13" s="102">
        <f>SUMIFS(TbRegistroEntradas[Valor],TbRegistroEntradas[Mês previsto],G13,TbRegistroEntradas[Ano Previsto],$D$5,TbRegistroEntradas[Data do Caixa Realizado],"")</f>
        <v>0</v>
      </c>
      <c r="J13" s="68"/>
      <c r="K13" s="80">
        <f>SUMIFS(TbRegistroEntradas[Valor],TbRegistroEntradas[Conta Nível 2],$K$5,TbRegistroEntradas[Ano 
Competência],$M$4,TbRegistroEntradas[Mês 
Competência],G13)</f>
        <v>0</v>
      </c>
      <c r="L13" s="80" t="str">
        <f t="shared" si="0"/>
        <v>Não Disp</v>
      </c>
      <c r="M13" s="71" t="s">
        <v>547</v>
      </c>
    </row>
    <row r="14" spans="2:13" x14ac:dyDescent="0.25">
      <c r="B14" s="68"/>
      <c r="C14" s="164" t="s">
        <v>596</v>
      </c>
      <c r="D14" s="164"/>
      <c r="E14" s="100">
        <f>SUMIFS(TbRegistrosSaida[Valor],TbRegistrosSaida[Data do Caixa Realizado],"",TbRegistrosSaida[Ano Previsto],D5)</f>
        <v>12009</v>
      </c>
      <c r="F14" s="68"/>
      <c r="G14" s="68">
        <v>9</v>
      </c>
      <c r="H14" s="105">
        <f>SUMIFS(TbRegistrosSaida[Valor],TbRegistrosSaida[Mês previsto],G14,TbRegistrosSaida[Ano Previsto],$D$5,TbRegistrosSaida[Data do Caixa Realizado],"")</f>
        <v>0</v>
      </c>
      <c r="I14" s="102">
        <f>SUMIFS(TbRegistroEntradas[Valor],TbRegistroEntradas[Mês previsto],G14,TbRegistroEntradas[Ano Previsto],$D$5,TbRegistroEntradas[Data do Caixa Realizado],"")</f>
        <v>0</v>
      </c>
      <c r="J14" s="68"/>
      <c r="K14" s="80">
        <f>SUMIFS(TbRegistroEntradas[Valor],TbRegistroEntradas[Conta Nível 2],$K$5,TbRegistroEntradas[Ano 
Competência],$M$4,TbRegistroEntradas[Mês 
Competência],G14)</f>
        <v>0</v>
      </c>
      <c r="L14" s="80" t="str">
        <f t="shared" si="0"/>
        <v>Não Disp</v>
      </c>
      <c r="M14" s="71" t="s">
        <v>548</v>
      </c>
    </row>
    <row r="15" spans="2:13" x14ac:dyDescent="0.25">
      <c r="B15" s="68"/>
      <c r="C15" s="165" t="s">
        <v>597</v>
      </c>
      <c r="D15" s="165"/>
      <c r="E15" s="100">
        <f>SUMIFS(TbRegistroEntradas[Valor],TbRegistroEntradas[Data do Caixa Realizado],"",TbRegistroEntradas[Ano Previsto],D5)</f>
        <v>5413</v>
      </c>
      <c r="F15" s="68"/>
      <c r="G15" s="68">
        <v>10</v>
      </c>
      <c r="H15" s="105">
        <f>SUMIFS(TbRegistrosSaida[Valor],TbRegistrosSaida[Mês previsto],G15,TbRegistrosSaida[Ano Previsto],$D$5,TbRegistrosSaida[Data do Caixa Realizado],"")</f>
        <v>0</v>
      </c>
      <c r="I15" s="102">
        <f>SUMIFS(TbRegistroEntradas[Valor],TbRegistroEntradas[Mês previsto],G15,TbRegistroEntradas[Ano Previsto],$D$5,TbRegistroEntradas[Data do Caixa Realizado],"")</f>
        <v>0</v>
      </c>
      <c r="J15" s="68"/>
      <c r="K15" s="80">
        <f>SUMIFS(TbRegistroEntradas[Valor],TbRegistroEntradas[Conta Nível 2],$K$5,TbRegistroEntradas[Ano 
Competência],$M$4,TbRegistroEntradas[Mês 
Competência],G15)</f>
        <v>0</v>
      </c>
      <c r="L15" s="80" t="str">
        <f t="shared" si="0"/>
        <v>Não Disp</v>
      </c>
      <c r="M15" s="71" t="s">
        <v>549</v>
      </c>
    </row>
    <row r="16" spans="2:13" x14ac:dyDescent="0.25">
      <c r="B16" s="68"/>
      <c r="C16" s="68"/>
      <c r="D16" s="68"/>
      <c r="E16" s="68"/>
      <c r="F16" s="68"/>
      <c r="G16" s="68">
        <v>11</v>
      </c>
      <c r="H16" s="105">
        <f>SUMIFS(TbRegistrosSaida[Valor],TbRegistrosSaida[Mês previsto],G16,TbRegistrosSaida[Ano Previsto],$D$5,TbRegistrosSaida[Data do Caixa Realizado],"")</f>
        <v>0</v>
      </c>
      <c r="I16" s="102">
        <f>SUMIFS(TbRegistroEntradas[Valor],TbRegistroEntradas[Mês previsto],G16,TbRegistroEntradas[Ano Previsto],$D$5,TbRegistroEntradas[Data do Caixa Realizado],"")</f>
        <v>0</v>
      </c>
      <c r="J16" s="68"/>
      <c r="K16" s="80">
        <f>SUMIFS(TbRegistroEntradas[Valor],TbRegistroEntradas[Conta Nível 2],$K$5,TbRegistroEntradas[Ano 
Competência],$M$4,TbRegistroEntradas[Mês 
Competência],G16)</f>
        <v>0</v>
      </c>
      <c r="L16" s="80" t="str">
        <f t="shared" si="0"/>
        <v>Não Disp</v>
      </c>
      <c r="M16" s="71" t="s">
        <v>550</v>
      </c>
    </row>
    <row r="17" spans="2:13" x14ac:dyDescent="0.25">
      <c r="B17" s="68"/>
      <c r="C17" s="68"/>
      <c r="D17" s="68"/>
      <c r="E17" s="68"/>
      <c r="F17" s="68"/>
      <c r="G17" s="83">
        <v>12</v>
      </c>
      <c r="H17" s="106">
        <f>SUMIFS(TbRegistrosSaida[Valor],TbRegistrosSaida[Mês previsto],G17,TbRegistrosSaida[Ano Previsto],$D$5,TbRegistrosSaida[Data do Caixa Realizado],"")</f>
        <v>0</v>
      </c>
      <c r="I17" s="103">
        <f>SUMIFS(TbRegistroEntradas[Valor],TbRegistroEntradas[Mês previsto],G17,TbRegistroEntradas[Ano Previsto],$D$5,TbRegistroEntradas[Data do Caixa Realizado],"")</f>
        <v>0</v>
      </c>
      <c r="J17" s="68"/>
      <c r="K17" s="85">
        <f>SUMIFS(TbRegistroEntradas[Valor],TbRegistroEntradas[Conta Nível 2],$K$5,TbRegistroEntradas[Ano 
Competência],$M$4,TbRegistroEntradas[Mês 
Competência],G17)</f>
        <v>0</v>
      </c>
      <c r="L17" s="85" t="str">
        <f t="shared" si="0"/>
        <v>Não Disp</v>
      </c>
      <c r="M17" s="86" t="s">
        <v>551</v>
      </c>
    </row>
    <row r="18" spans="2:13" x14ac:dyDescent="0.25"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2:13" x14ac:dyDescent="0.25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2:13" x14ac:dyDescent="0.25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</row>
    <row r="21" spans="2:13" x14ac:dyDescent="0.25">
      <c r="B21" s="68"/>
      <c r="C21" s="70" t="s">
        <v>598</v>
      </c>
      <c r="D21" s="68"/>
      <c r="E21" s="68"/>
      <c r="F21" s="87"/>
      <c r="G21" s="68"/>
      <c r="H21" s="68"/>
      <c r="I21" s="68"/>
      <c r="J21" s="68"/>
      <c r="K21" s="68"/>
      <c r="L21" s="68"/>
      <c r="M21" s="68"/>
    </row>
    <row r="22" spans="2:13" x14ac:dyDescent="0.25">
      <c r="B22" s="68"/>
      <c r="C22" s="74" t="s">
        <v>599</v>
      </c>
      <c r="D22" s="75" t="s">
        <v>600</v>
      </c>
      <c r="E22" s="75" t="s">
        <v>601</v>
      </c>
      <c r="F22" s="75" t="s">
        <v>580</v>
      </c>
      <c r="G22" s="68"/>
      <c r="H22" s="68"/>
      <c r="I22" s="68"/>
      <c r="J22" s="68"/>
      <c r="K22" s="68"/>
      <c r="L22" s="68"/>
      <c r="M22" s="68"/>
    </row>
    <row r="23" spans="2:13" x14ac:dyDescent="0.25">
      <c r="B23" s="68"/>
      <c r="C23" s="88">
        <f>D5</f>
        <v>2019</v>
      </c>
      <c r="D23" s="89">
        <f>SUMIFS(TbRegistroEntradas[Valor],TbRegistroEntradas[Á vista],"Vista",TbRegistroEntradas[Ano 
Competência],C23)</f>
        <v>39573</v>
      </c>
      <c r="E23" s="89">
        <f>SUMIFS(TbRegistroEntradas[Valor],TbRegistroEntradas[Á vista],"Prazo",TbRegistroEntradas[Ano 
Competência],C23)</f>
        <v>91086</v>
      </c>
      <c r="F23" s="89">
        <f>SUM(D23,E23)</f>
        <v>130659</v>
      </c>
      <c r="G23" s="68"/>
      <c r="H23" s="68"/>
      <c r="I23" s="68"/>
      <c r="J23" s="68"/>
      <c r="K23" s="68"/>
      <c r="L23" s="68"/>
      <c r="M23" s="68"/>
    </row>
    <row r="24" spans="2:13" x14ac:dyDescent="0.2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2:13" x14ac:dyDescent="0.25">
      <c r="B25" s="68"/>
      <c r="C25" s="68"/>
      <c r="D25" s="68"/>
      <c r="E25" s="68"/>
      <c r="F25" s="68"/>
      <c r="G25" s="68"/>
      <c r="H25" s="70" t="s">
        <v>603</v>
      </c>
      <c r="I25" s="68"/>
      <c r="J25" s="68"/>
      <c r="K25" s="68"/>
      <c r="L25" s="68"/>
      <c r="M25" s="68"/>
    </row>
    <row r="26" spans="2:13" x14ac:dyDescent="0.25">
      <c r="B26" s="68"/>
      <c r="C26" s="70" t="s">
        <v>602</v>
      </c>
      <c r="D26" s="68"/>
      <c r="E26" s="68"/>
      <c r="F26" s="68"/>
      <c r="G26" s="68"/>
      <c r="H26" s="74" t="s">
        <v>599</v>
      </c>
      <c r="I26" s="75" t="s">
        <v>604</v>
      </c>
      <c r="J26" s="75" t="s">
        <v>605</v>
      </c>
      <c r="K26" s="75" t="s">
        <v>606</v>
      </c>
      <c r="L26" s="68"/>
      <c r="M26" s="68"/>
    </row>
    <row r="27" spans="2:13" x14ac:dyDescent="0.25">
      <c r="B27" s="68"/>
      <c r="C27" s="74" t="s">
        <v>599</v>
      </c>
      <c r="D27" s="75" t="s">
        <v>604</v>
      </c>
      <c r="E27" s="75" t="s">
        <v>605</v>
      </c>
      <c r="F27" s="75" t="s">
        <v>606</v>
      </c>
      <c r="G27" s="68"/>
      <c r="H27" s="88">
        <f>D5</f>
        <v>2019</v>
      </c>
      <c r="I27" s="90">
        <f ca="1">COUNTIFS(TbRegistrosSaida[Ano 
Competência],C28,TbRegistrosSaida[Dias de 
atraso],"&gt;0")</f>
        <v>16</v>
      </c>
      <c r="J27" s="116">
        <f ca="1">SUMIFS(TbRegistrosSaida[Dias de 
atraso],TbRegistrosSaida[Ano 
Competência],C28,TbRegistrosSaida[Dias de 
atraso],"&gt;0")</f>
        <v>5865.370236028175</v>
      </c>
      <c r="K27" s="90">
        <f ca="1">J27/I27</f>
        <v>366.58563975176094</v>
      </c>
      <c r="L27" s="68"/>
      <c r="M27" s="68"/>
    </row>
    <row r="28" spans="2:13" x14ac:dyDescent="0.25">
      <c r="B28" s="68"/>
      <c r="C28" s="88">
        <f>D5</f>
        <v>2019</v>
      </c>
      <c r="D28" s="90">
        <f ca="1">COUNTIFS(TbRegistroEntradas[Ano 
Competência],C28,TbRegistroEntradas[Dias de 
atraso],"&gt;0")</f>
        <v>32</v>
      </c>
      <c r="E28" s="90">
        <f ca="1">SUMIFS(TbRegistroEntradas[Dias de 
atraso],TbRegistroEntradas[Ano 
Competência],C28,TbRegistroEntradas[Dias de 
atraso],"&gt;0")</f>
        <v>53711.527876044252</v>
      </c>
      <c r="F28" s="90">
        <f ca="1">E28/D28</f>
        <v>1678.4852461263829</v>
      </c>
      <c r="G28" s="68"/>
      <c r="H28" s="68"/>
      <c r="I28" s="115"/>
      <c r="J28" s="68"/>
      <c r="K28" s="68"/>
      <c r="L28" s="68"/>
      <c r="M28" s="68"/>
    </row>
    <row r="29" spans="2:13" x14ac:dyDescent="0.25"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</row>
    <row r="30" spans="2:13" x14ac:dyDescent="0.25"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</row>
    <row r="31" spans="2:13" x14ac:dyDescent="0.25">
      <c r="B31" s="68"/>
      <c r="C31" s="70" t="s">
        <v>607</v>
      </c>
      <c r="D31" s="68"/>
      <c r="E31" s="68"/>
      <c r="F31" s="68"/>
      <c r="G31" s="68"/>
      <c r="H31" s="70" t="s">
        <v>608</v>
      </c>
      <c r="I31" s="91">
        <f>D5</f>
        <v>2019</v>
      </c>
      <c r="J31" s="68"/>
      <c r="K31" s="68"/>
      <c r="L31" s="68"/>
      <c r="M31" s="68"/>
    </row>
    <row r="32" spans="2:13" x14ac:dyDescent="0.25">
      <c r="B32" s="68"/>
      <c r="C32" s="92" t="s">
        <v>599</v>
      </c>
      <c r="D32" s="79" t="s">
        <v>537</v>
      </c>
      <c r="E32" s="79" t="s">
        <v>538</v>
      </c>
      <c r="F32" s="79" t="s">
        <v>609</v>
      </c>
      <c r="G32" s="68"/>
      <c r="H32" s="74" t="s">
        <v>592</v>
      </c>
      <c r="I32" s="93" t="str">
        <f>'Dashboard financeiro anual'!L15</f>
        <v>Vestuário</v>
      </c>
      <c r="J32" s="68"/>
      <c r="K32" s="68"/>
      <c r="L32" s="68"/>
      <c r="M32" s="68"/>
    </row>
    <row r="33" spans="2:13" x14ac:dyDescent="0.25">
      <c r="B33" s="68"/>
      <c r="C33" s="121">
        <f>D5</f>
        <v>2019</v>
      </c>
      <c r="D33" s="94">
        <f>SUMIFS(TbRegistroEntradas[Valor],TbRegistroEntradas[Ano 
Competência],C33)</f>
        <v>130659</v>
      </c>
      <c r="E33" s="94">
        <f>SUMIFS(TbRegistrosSaida[Valor],TbRegistrosSaida[Ano 
Competência],C33)</f>
        <v>169790</v>
      </c>
      <c r="F33" s="95">
        <f>D33-E33</f>
        <v>-39131</v>
      </c>
      <c r="G33" s="68"/>
      <c r="H33" s="68">
        <v>1</v>
      </c>
      <c r="I33" s="80">
        <f>SUMIFS(TbRegistrosSaida[Valor],TbRegistrosSaida[Conta Nível 2],$I$32,TbRegistrosSaida[Ano 
Competência],$I$31,TbRegistrosSaida[Mês 
Competência],H33)</f>
        <v>14690</v>
      </c>
      <c r="J33" s="68"/>
      <c r="K33" s="68"/>
      <c r="L33" s="68"/>
      <c r="M33" s="68"/>
    </row>
    <row r="34" spans="2:13" x14ac:dyDescent="0.25">
      <c r="B34" s="68"/>
      <c r="C34" s="68"/>
      <c r="D34" s="68"/>
      <c r="E34" s="68"/>
      <c r="F34" s="68"/>
      <c r="G34" s="68"/>
      <c r="H34" s="68">
        <v>2</v>
      </c>
      <c r="I34" s="80">
        <f>SUMIFS(TbRegistrosSaida[Valor],TbRegistrosSaida[Conta Nível 2],$I$32,TbRegistrosSaida[Ano 
Competência],$I$31,TbRegistrosSaida[Mês 
Competência],H34)</f>
        <v>6991</v>
      </c>
      <c r="J34" s="68"/>
      <c r="K34" s="68"/>
      <c r="L34" s="68"/>
      <c r="M34" s="68"/>
    </row>
    <row r="35" spans="2:13" x14ac:dyDescent="0.25">
      <c r="B35" s="68"/>
      <c r="C35" s="68"/>
      <c r="D35" s="68"/>
      <c r="E35" s="68"/>
      <c r="F35" s="68"/>
      <c r="G35" s="68"/>
      <c r="H35" s="68">
        <v>3</v>
      </c>
      <c r="I35" s="80">
        <f>SUMIFS(TbRegistrosSaida[Valor],TbRegistrosSaida[Conta Nível 2],$I$32,TbRegistrosSaida[Ano 
Competência],$I$31,TbRegistrosSaida[Mês 
Competência],H35)</f>
        <v>8219</v>
      </c>
      <c r="J35" s="68"/>
      <c r="K35" s="68"/>
      <c r="L35" s="68"/>
      <c r="M35" s="68"/>
    </row>
    <row r="36" spans="2:13" x14ac:dyDescent="0.25">
      <c r="B36" s="68"/>
      <c r="C36" s="68"/>
      <c r="D36" s="68"/>
      <c r="E36" s="68"/>
      <c r="F36" s="68"/>
      <c r="G36" s="68"/>
      <c r="H36" s="68">
        <v>4</v>
      </c>
      <c r="I36" s="80">
        <f>SUMIFS(TbRegistrosSaida[Valor],TbRegistrosSaida[Conta Nível 2],$I$32,TbRegistrosSaida[Ano 
Competência],$I$31,TbRegistrosSaida[Mês 
Competência],H36)</f>
        <v>19692</v>
      </c>
      <c r="J36" s="68"/>
      <c r="K36" s="68"/>
      <c r="L36" s="68"/>
      <c r="M36" s="68"/>
    </row>
    <row r="37" spans="2:13" x14ac:dyDescent="0.25">
      <c r="B37" s="68"/>
      <c r="C37" s="68"/>
      <c r="D37" s="68"/>
      <c r="E37" s="68"/>
      <c r="F37" s="68"/>
      <c r="G37" s="68"/>
      <c r="H37" s="68">
        <v>5</v>
      </c>
      <c r="I37" s="80">
        <f>SUMIFS(TbRegistrosSaida[Valor],TbRegistrosSaida[Conta Nível 2],$I$32,TbRegistrosSaida[Ano 
Competência],$I$31,TbRegistrosSaida[Mês 
Competência],H37)</f>
        <v>16406</v>
      </c>
      <c r="J37" s="68"/>
      <c r="K37" s="68"/>
      <c r="L37" s="68"/>
      <c r="M37" s="68"/>
    </row>
    <row r="38" spans="2:13" x14ac:dyDescent="0.25">
      <c r="B38" s="68"/>
      <c r="C38" s="68"/>
      <c r="D38" s="68"/>
      <c r="E38" s="68"/>
      <c r="F38" s="68"/>
      <c r="G38" s="68"/>
      <c r="H38" s="68">
        <v>6</v>
      </c>
      <c r="I38" s="80">
        <f>SUMIFS(TbRegistrosSaida[Valor],TbRegistrosSaida[Conta Nível 2],$I$32,TbRegistrosSaida[Ano 
Competência],$I$31,TbRegistrosSaida[Mês 
Competência],H38)</f>
        <v>5157</v>
      </c>
      <c r="J38" s="68"/>
      <c r="K38" s="68"/>
      <c r="L38" s="68"/>
      <c r="M38" s="68"/>
    </row>
    <row r="39" spans="2:13" x14ac:dyDescent="0.25">
      <c r="B39" s="68"/>
      <c r="C39" s="68"/>
      <c r="D39" s="68"/>
      <c r="E39" s="68"/>
      <c r="F39" s="68"/>
      <c r="G39" s="68"/>
      <c r="H39" s="68">
        <v>7</v>
      </c>
      <c r="I39" s="80">
        <f>SUMIFS(TbRegistrosSaida[Valor],TbRegistrosSaida[Conta Nível 2],$I$32,TbRegistrosSaida[Ano 
Competência],$I$31,TbRegistrosSaida[Mês 
Competência],H39)</f>
        <v>0</v>
      </c>
      <c r="J39" s="68"/>
      <c r="K39" s="68"/>
      <c r="L39" s="68"/>
      <c r="M39" s="68"/>
    </row>
    <row r="40" spans="2:13" x14ac:dyDescent="0.25">
      <c r="B40" s="68"/>
      <c r="C40" s="68"/>
      <c r="D40" s="68"/>
      <c r="E40" s="68"/>
      <c r="F40" s="68"/>
      <c r="G40" s="68"/>
      <c r="H40" s="68">
        <v>8</v>
      </c>
      <c r="I40" s="80">
        <f>SUMIFS(TbRegistrosSaida[Valor],TbRegistrosSaida[Conta Nível 2],$I$32,TbRegistrosSaida[Ano 
Competência],$I$31,TbRegistrosSaida[Mês 
Competência],H40)</f>
        <v>0</v>
      </c>
      <c r="J40" s="68"/>
      <c r="K40" s="68"/>
      <c r="L40" s="68"/>
      <c r="M40" s="68"/>
    </row>
    <row r="41" spans="2:13" x14ac:dyDescent="0.25">
      <c r="B41" s="68"/>
      <c r="C41" s="68"/>
      <c r="D41" s="68"/>
      <c r="E41" s="68"/>
      <c r="F41" s="68"/>
      <c r="G41" s="68"/>
      <c r="H41" s="68">
        <v>9</v>
      </c>
      <c r="I41" s="80">
        <f>SUMIFS(TbRegistrosSaida[Valor],TbRegistrosSaida[Conta Nível 2],$I$32,TbRegistrosSaida[Ano 
Competência],$I$31,TbRegistrosSaida[Mês 
Competência],H41)</f>
        <v>0</v>
      </c>
      <c r="J41" s="68"/>
      <c r="K41" s="68"/>
      <c r="L41" s="68"/>
      <c r="M41" s="68"/>
    </row>
    <row r="42" spans="2:13" x14ac:dyDescent="0.25">
      <c r="B42" s="68"/>
      <c r="C42" s="68"/>
      <c r="D42" s="68"/>
      <c r="E42" s="68"/>
      <c r="F42" s="68"/>
      <c r="G42" s="68"/>
      <c r="H42" s="68">
        <v>10</v>
      </c>
      <c r="I42" s="80">
        <f>SUMIFS(TbRegistrosSaida[Valor],TbRegistrosSaida[Conta Nível 2],$I$32,TbRegistrosSaida[Ano 
Competência],$I$31,TbRegistrosSaida[Mês 
Competência],H42)</f>
        <v>0</v>
      </c>
      <c r="J42" s="68"/>
      <c r="K42" s="68"/>
      <c r="L42" s="68"/>
      <c r="M42" s="68"/>
    </row>
    <row r="43" spans="2:13" x14ac:dyDescent="0.25">
      <c r="B43" s="68"/>
      <c r="C43" s="68"/>
      <c r="D43" s="68"/>
      <c r="E43" s="68"/>
      <c r="F43" s="68"/>
      <c r="G43" s="68"/>
      <c r="H43" s="68">
        <v>11</v>
      </c>
      <c r="I43" s="80">
        <f>SUMIFS(TbRegistrosSaida[Valor],TbRegistrosSaida[Conta Nível 2],$I$32,TbRegistrosSaida[Ano 
Competência],$I$31,TbRegistrosSaida[Mês 
Competência],H43)</f>
        <v>0</v>
      </c>
      <c r="J43" s="68"/>
      <c r="K43" s="68"/>
      <c r="L43" s="68"/>
      <c r="M43" s="68"/>
    </row>
    <row r="44" spans="2:13" x14ac:dyDescent="0.25">
      <c r="B44" s="68"/>
      <c r="C44" s="68"/>
      <c r="D44" s="68"/>
      <c r="E44" s="68"/>
      <c r="F44" s="68"/>
      <c r="G44" s="68"/>
      <c r="H44" s="83">
        <v>12</v>
      </c>
      <c r="I44" s="80">
        <f>SUMIFS(TbRegistrosSaida[Valor],TbRegistrosSaida[Conta Nível 2],$I$32,TbRegistrosSaida[Ano 
Competência],$I$31,TbRegistrosSaida[Mês 
Competência],H44)</f>
        <v>0</v>
      </c>
      <c r="J44" s="68"/>
      <c r="K44" s="68"/>
      <c r="L44" s="68"/>
      <c r="M44" s="68"/>
    </row>
    <row r="45" spans="2:13" x14ac:dyDescent="0.25">
      <c r="C45" s="68"/>
      <c r="D45" s="68"/>
      <c r="E45" s="68"/>
      <c r="F45" s="68"/>
      <c r="H45" s="74" t="s">
        <v>580</v>
      </c>
      <c r="I45" s="96">
        <f>SUM(I33:I44)</f>
        <v>71155</v>
      </c>
    </row>
  </sheetData>
  <mergeCells count="2">
    <mergeCell ref="C14:D14"/>
    <mergeCell ref="C15:D15"/>
  </mergeCells>
  <conditionalFormatting sqref="D12">
    <cfRule type="cellIs" dxfId="13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showGridLines="0" workbookViewId="0">
      <selection activeCell="F40" sqref="F40"/>
    </sheetView>
  </sheetViews>
  <sheetFormatPr defaultRowHeight="15" x14ac:dyDescent="0.25"/>
  <cols>
    <col min="3" max="3" width="12.42578125" customWidth="1"/>
    <col min="4" max="6" width="11.5703125" bestFit="1" customWidth="1"/>
    <col min="8" max="8" width="14.7109375" customWidth="1"/>
    <col min="9" max="9" width="16.28515625" customWidth="1"/>
    <col min="10" max="10" width="10.5703125" customWidth="1"/>
    <col min="11" max="11" width="19.28515625" bestFit="1" customWidth="1"/>
    <col min="12" max="12" width="9.5703125" bestFit="1" customWidth="1"/>
  </cols>
  <sheetData>
    <row r="2" spans="2:13" x14ac:dyDescent="0.25">
      <c r="B2" s="68"/>
      <c r="C2" s="69" t="s">
        <v>587</v>
      </c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2:13" x14ac:dyDescent="0.25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2:13" x14ac:dyDescent="0.25">
      <c r="B4" s="68"/>
      <c r="C4" s="68"/>
      <c r="D4" s="68"/>
      <c r="E4" s="68"/>
      <c r="F4" s="68"/>
      <c r="G4" s="70" t="s">
        <v>588</v>
      </c>
      <c r="H4" s="68"/>
      <c r="I4" s="68"/>
      <c r="J4" s="68"/>
      <c r="K4" s="70" t="s">
        <v>589</v>
      </c>
      <c r="L4" s="71" t="s">
        <v>590</v>
      </c>
      <c r="M4" s="72">
        <f>D5</f>
        <v>2019</v>
      </c>
    </row>
    <row r="5" spans="2:13" ht="23.1" customHeight="1" x14ac:dyDescent="0.25">
      <c r="B5" s="68"/>
      <c r="C5" s="71" t="s">
        <v>591</v>
      </c>
      <c r="D5" s="73">
        <f>YEAR('Dashboard financeiro atual'!M2)</f>
        <v>2019</v>
      </c>
      <c r="E5" s="68"/>
      <c r="F5" s="68"/>
      <c r="G5" s="74" t="s">
        <v>592</v>
      </c>
      <c r="H5" s="101" t="s">
        <v>616</v>
      </c>
      <c r="I5" s="101" t="s">
        <v>617</v>
      </c>
      <c r="J5" s="68"/>
      <c r="K5" s="76" t="str">
        <f>'Dashboard financeiro atual'!L4</f>
        <v>Livros</v>
      </c>
      <c r="L5" s="74" t="s">
        <v>593</v>
      </c>
      <c r="M5" s="74" t="s">
        <v>592</v>
      </c>
    </row>
    <row r="6" spans="2:13" ht="21" customHeight="1" x14ac:dyDescent="0.25">
      <c r="B6" s="68"/>
      <c r="C6" s="71" t="s">
        <v>615</v>
      </c>
      <c r="D6" s="87">
        <f>'Dashboard financeiro atual'!M2</f>
        <v>43679</v>
      </c>
      <c r="E6" s="68"/>
      <c r="F6" s="68"/>
      <c r="G6" s="77">
        <v>1</v>
      </c>
      <c r="H6" s="81">
        <f>SUMIFS(TbRegistrosSaida[Valor],TbRegistrosSaida[Mês previsto],G6,TbRegistrosSaida[Ano Previsto],$D$5,TbRegistrosSaida[Data do Caixa Realizado],"",TbRegistrosSaida[Data do Caixa Previsto],"&lt;="&amp;$D$6)</f>
        <v>5159</v>
      </c>
      <c r="I6" s="129">
        <f>SUMIFS(TbRegistroEntradas[Valor],TbRegistroEntradas[Mês previsto],G6,TbRegistroEntradas[Ano Previsto],$D$5,TbRegistroEntradas[Data do Caixa Realizado],"",TbRegistroEntradas[Data do Caixa Previsto],"&lt;="&amp;$D$6)</f>
        <v>483</v>
      </c>
      <c r="J6" s="68"/>
      <c r="K6" s="78">
        <f>SUMIFS(TbRegistroEntradas[Valor],TbRegistroEntradas[Conta Nível 2],$K$5,TbRegistroEntradas[Ano 
Competência],$M$4,TbRegistroEntradas[Mês 
Competência],G6,TbRegistroEntradas[Data da Competência],"&lt;="&amp;$D$6)</f>
        <v>6759</v>
      </c>
      <c r="L6" s="78">
        <f>IF(K6=0,"Não Disp",K6)</f>
        <v>6759</v>
      </c>
      <c r="M6" s="79" t="s">
        <v>540</v>
      </c>
    </row>
    <row r="7" spans="2:13" x14ac:dyDescent="0.25">
      <c r="B7" s="68"/>
      <c r="C7" s="68"/>
      <c r="D7" s="68"/>
      <c r="E7" s="68"/>
      <c r="F7" s="68"/>
      <c r="G7" s="68">
        <v>2</v>
      </c>
      <c r="H7" s="82">
        <f>SUMIFS(TbRegistrosSaida[Valor],TbRegistrosSaida[Mês previsto],G7,TbRegistrosSaida[Ano Previsto],$D$5,TbRegistrosSaida[Data do Caixa Realizado],"",TbRegistrosSaida[Data do Caixa Previsto],"&lt;="&amp;$D$6)</f>
        <v>0</v>
      </c>
      <c r="I7" s="131">
        <f>SUMIFS(TbRegistroEntradas[Valor],TbRegistroEntradas[Mês previsto],G7,TbRegistroEntradas[Ano Previsto],$D$5,TbRegistroEntradas[Data do Caixa Realizado],"",TbRegistroEntradas[Data do Caixa Previsto],"&lt;="&amp;$D$6)</f>
        <v>928</v>
      </c>
      <c r="J7" s="68"/>
      <c r="K7" s="80">
        <f>SUMIFS(TbRegistroEntradas[Valor],TbRegistroEntradas[Conta Nível 2],$K$5,TbRegistroEntradas[Ano 
Competência],$M$4,TbRegistroEntradas[Mês 
Competência],G7,TbRegistroEntradas[Data da Competência],"&lt;="&amp;$D$6)</f>
        <v>8187</v>
      </c>
      <c r="L7" s="80">
        <f>IF(K7=0,"Não Disp",K7)</f>
        <v>8187</v>
      </c>
      <c r="M7" s="71" t="s">
        <v>541</v>
      </c>
    </row>
    <row r="8" spans="2:13" x14ac:dyDescent="0.25">
      <c r="B8" s="68"/>
      <c r="C8" s="70" t="s">
        <v>594</v>
      </c>
      <c r="D8" s="68"/>
      <c r="E8" s="68"/>
      <c r="F8" s="68"/>
      <c r="G8" s="68">
        <v>3</v>
      </c>
      <c r="H8" s="82">
        <f>SUMIFS(TbRegistrosSaida[Valor],TbRegistrosSaida[Mês previsto],G8,TbRegistrosSaida[Ano Previsto],$D$5,TbRegistrosSaida[Data do Caixa Realizado],"",TbRegistrosSaida[Data do Caixa Previsto],"&lt;="&amp;$D$6)</f>
        <v>0</v>
      </c>
      <c r="I8" s="131">
        <f>SUMIFS(TbRegistroEntradas[Valor],TbRegistroEntradas[Mês previsto],G8,TbRegistroEntradas[Ano Previsto],$D$5,TbRegistroEntradas[Data do Caixa Realizado],"",TbRegistroEntradas[Data do Caixa Previsto],"&lt;="&amp;$D$6)</f>
        <v>0</v>
      </c>
      <c r="J8" s="68"/>
      <c r="K8" s="80">
        <f>SUMIFS(TbRegistroEntradas[Valor],TbRegistroEntradas[Conta Nível 2],$K$5,TbRegistroEntradas[Ano 
Competência],$M$4,TbRegistroEntradas[Mês 
Competência],G8,TbRegistroEntradas[Data da Competência],"&lt;="&amp;$D$6)</f>
        <v>5918</v>
      </c>
      <c r="L8" s="80">
        <f t="shared" ref="L8:L17" si="0">IF(K8=0,"Não Disp",K8)</f>
        <v>5918</v>
      </c>
      <c r="M8" s="71" t="s">
        <v>542</v>
      </c>
    </row>
    <row r="9" spans="2:13" x14ac:dyDescent="0.25">
      <c r="B9" s="68"/>
      <c r="C9" s="77" t="s">
        <v>552</v>
      </c>
      <c r="D9" s="81">
        <f>SUMIFS(TbRegistroEntradas[Valor],TbRegistroEntradas[Ano Caixa],"&lt;"&amp;D5,TbRegistroEntradas[Ano Caixa],"&lt;&gt;0",TbRegistroEntradas[Data do Caixa Realizado],"&lt;="&amp;D6)-SUMIFS(TbRegistrosSaida[Valor],TbRegistrosSaida[Ano Caixa],"&lt;"&amp;D5,TbRegistrosSaida[Ano Caixa],"&lt;&gt;0",TbRegistrosSaida[Data do Caixa Realizado],"&lt;="&amp;D6)</f>
        <v>14746</v>
      </c>
      <c r="E9" s="100"/>
      <c r="F9" s="68"/>
      <c r="G9" s="68">
        <v>4</v>
      </c>
      <c r="H9" s="82">
        <f>SUMIFS(TbRegistrosSaida[Valor],TbRegistrosSaida[Mês previsto],G9,TbRegistrosSaida[Ano Previsto],$D$5,TbRegistrosSaida[Data do Caixa Realizado],"",TbRegistrosSaida[Data do Caixa Previsto],"&lt;="&amp;$D$6)</f>
        <v>1753</v>
      </c>
      <c r="I9" s="131">
        <f>SUMIFS(TbRegistroEntradas[Valor],TbRegistroEntradas[Mês previsto],G9,TbRegistroEntradas[Ano Previsto],$D$5,TbRegistroEntradas[Data do Caixa Realizado],"",TbRegistroEntradas[Data do Caixa Previsto],"&lt;="&amp;$D$6)</f>
        <v>0</v>
      </c>
      <c r="J9" s="68"/>
      <c r="K9" s="80">
        <f>SUMIFS(TbRegistroEntradas[Valor],TbRegistroEntradas[Conta Nível 2],$K$5,TbRegistroEntradas[Ano 
Competência],$M$4,TbRegistroEntradas[Mês 
Competência],G9,TbRegistroEntradas[Data da Competência],"&lt;="&amp;$D$6)</f>
        <v>1620</v>
      </c>
      <c r="L9" s="80">
        <f t="shared" si="0"/>
        <v>1620</v>
      </c>
      <c r="M9" s="71" t="s">
        <v>543</v>
      </c>
    </row>
    <row r="10" spans="2:13" x14ac:dyDescent="0.25">
      <c r="B10" s="68"/>
      <c r="C10" s="68" t="s">
        <v>537</v>
      </c>
      <c r="D10" s="82">
        <f>SUMIFS(TbRegistroEntradas[Valor],TbRegistroEntradas[Ano Caixa],"="&amp;D5,TbRegistroEntradas[Data do Caixa Realizado],"&lt;="&amp;D6)</f>
        <v>154309</v>
      </c>
      <c r="E10" s="68"/>
      <c r="F10" s="68"/>
      <c r="G10" s="68">
        <v>5</v>
      </c>
      <c r="H10" s="82">
        <f>SUMIFS(TbRegistrosSaida[Valor],TbRegistrosSaida[Mês previsto],G10,TbRegistrosSaida[Ano Previsto],$D$5,TbRegistrosSaida[Data do Caixa Realizado],"",TbRegistrosSaida[Data do Caixa Previsto],"&lt;="&amp;$D$6)</f>
        <v>0</v>
      </c>
      <c r="I10" s="131">
        <f>SUMIFS(TbRegistroEntradas[Valor],TbRegistroEntradas[Mês previsto],G10,TbRegistroEntradas[Ano Previsto],$D$5,TbRegistroEntradas[Data do Caixa Realizado],"",TbRegistroEntradas[Data do Caixa Previsto],"&lt;="&amp;$D$6)</f>
        <v>2015</v>
      </c>
      <c r="J10" s="68"/>
      <c r="K10" s="80">
        <f>SUMIFS(TbRegistroEntradas[Valor],TbRegistroEntradas[Conta Nível 2],$K$5,TbRegistroEntradas[Ano 
Competência],$M$4,TbRegistroEntradas[Mês 
Competência],G10,TbRegistroEntradas[Data da Competência],"&lt;="&amp;$D$6)</f>
        <v>2194</v>
      </c>
      <c r="L10" s="80">
        <f t="shared" si="0"/>
        <v>2194</v>
      </c>
      <c r="M10" s="71" t="s">
        <v>544</v>
      </c>
    </row>
    <row r="11" spans="2:13" x14ac:dyDescent="0.25">
      <c r="B11" s="68"/>
      <c r="C11" s="68" t="s">
        <v>538</v>
      </c>
      <c r="D11" s="82">
        <f>SUMIFS(TbRegistrosSaida[Valor],TbRegistrosSaida[Ano Caixa],"="&amp;D5,TbRegistrosSaida[Data do Caixa Realizado],"&lt;="&amp;D6)</f>
        <v>171244</v>
      </c>
      <c r="E11" s="68"/>
      <c r="F11" s="68"/>
      <c r="G11" s="68">
        <v>6</v>
      </c>
      <c r="H11" s="82">
        <f>SUMIFS(TbRegistrosSaida[Valor],TbRegistrosSaida[Mês previsto],G11,TbRegistrosSaida[Ano Previsto],$D$5,TbRegistrosSaida[Data do Caixa Realizado],"",TbRegistrosSaida[Data do Caixa Previsto],"&lt;="&amp;$D$6)</f>
        <v>0</v>
      </c>
      <c r="I11" s="131">
        <f>SUMIFS(TbRegistroEntradas[Valor],TbRegistroEntradas[Mês previsto],G11,TbRegistroEntradas[Ano Previsto],$D$5,TbRegistroEntradas[Data do Caixa Realizado],"",TbRegistroEntradas[Data do Caixa Previsto],"&lt;="&amp;$D$6)</f>
        <v>0</v>
      </c>
      <c r="J11" s="68"/>
      <c r="K11" s="80">
        <f>SUMIFS(TbRegistroEntradas[Valor],TbRegistroEntradas[Conta Nível 2],$K$5,TbRegistroEntradas[Ano 
Competência],$M$4,TbRegistroEntradas[Mês 
Competência],G11,TbRegistroEntradas[Data da Competência],"&lt;="&amp;$D$6)</f>
        <v>1482</v>
      </c>
      <c r="L11" s="80">
        <f t="shared" si="0"/>
        <v>1482</v>
      </c>
      <c r="M11" s="71" t="s">
        <v>545</v>
      </c>
    </row>
    <row r="12" spans="2:13" x14ac:dyDescent="0.25">
      <c r="B12" s="68"/>
      <c r="C12" s="83" t="s">
        <v>595</v>
      </c>
      <c r="D12" s="84">
        <f>D9+D10-D11</f>
        <v>-2189</v>
      </c>
      <c r="E12" s="68"/>
      <c r="F12" s="68"/>
      <c r="G12" s="68">
        <v>7</v>
      </c>
      <c r="H12" s="82">
        <f>SUMIFS(TbRegistrosSaida[Valor],TbRegistrosSaida[Mês previsto],G12,TbRegistrosSaida[Ano Previsto],$D$5,TbRegistrosSaida[Data do Caixa Realizado],"",TbRegistrosSaida[Data do Caixa Previsto],"&lt;="&amp;$D$6)</f>
        <v>2338</v>
      </c>
      <c r="I12" s="131">
        <f>SUMIFS(TbRegistroEntradas[Valor],TbRegistroEntradas[Mês previsto],G12,TbRegistroEntradas[Ano Previsto],$D$5,TbRegistroEntradas[Data do Caixa Realizado],"",TbRegistroEntradas[Data do Caixa Previsto],"&lt;="&amp;$D$6)</f>
        <v>1987</v>
      </c>
      <c r="J12" s="68"/>
      <c r="K12" s="80">
        <f>SUMIFS(TbRegistroEntradas[Valor],TbRegistroEntradas[Conta Nível 2],$K$5,TbRegistroEntradas[Ano 
Competência],$M$4,TbRegistroEntradas[Mês 
Competência],G12,TbRegistroEntradas[Data da Competência],"&lt;="&amp;$D$6)</f>
        <v>0</v>
      </c>
      <c r="L12" s="80" t="str">
        <f t="shared" si="0"/>
        <v>Não Disp</v>
      </c>
      <c r="M12" s="71" t="s">
        <v>546</v>
      </c>
    </row>
    <row r="13" spans="2:13" x14ac:dyDescent="0.25">
      <c r="B13" s="68"/>
      <c r="C13" s="68"/>
      <c r="D13" s="68"/>
      <c r="E13" s="100"/>
      <c r="F13" s="68"/>
      <c r="G13" s="68">
        <v>8</v>
      </c>
      <c r="H13" s="82">
        <f>SUMIFS(TbRegistrosSaida[Valor],TbRegistrosSaida[Mês previsto],G13,TbRegistrosSaida[Ano Previsto],$D$5,TbRegistrosSaida[Data do Caixa Realizado],"",TbRegistrosSaida[Data do Caixa Previsto],"&lt;="&amp;$D$6)</f>
        <v>0</v>
      </c>
      <c r="I13" s="131">
        <f>SUMIFS(TbRegistroEntradas[Valor],TbRegistroEntradas[Mês previsto],G13,TbRegistroEntradas[Ano Previsto],$D$5,TbRegistroEntradas[Data do Caixa Realizado],"",TbRegistroEntradas[Data do Caixa Previsto],"&lt;="&amp;$D$6)</f>
        <v>0</v>
      </c>
      <c r="J13" s="68"/>
      <c r="K13" s="80">
        <f>SUMIFS(TbRegistroEntradas[Valor],TbRegistroEntradas[Conta Nível 2],$K$5,TbRegistroEntradas[Ano 
Competência],$M$4,TbRegistroEntradas[Mês 
Competência],G13,TbRegistroEntradas[Data da Competência],"&lt;="&amp;$D$6)</f>
        <v>0</v>
      </c>
      <c r="L13" s="80" t="str">
        <f t="shared" si="0"/>
        <v>Não Disp</v>
      </c>
      <c r="M13" s="71" t="s">
        <v>547</v>
      </c>
    </row>
    <row r="14" spans="2:13" x14ac:dyDescent="0.25">
      <c r="B14" s="68"/>
      <c r="C14" s="164" t="s">
        <v>596</v>
      </c>
      <c r="D14" s="164"/>
      <c r="E14" s="100">
        <f>SUMIFS(TbRegistrosSaida[Valor],TbRegistrosSaida[Data do Caixa Realizado],"",TbRegistrosSaida[Ano Previsto],D5,TbRegistrosSaida[Data do Caixa Previsto],"&lt;="&amp;D6)</f>
        <v>9250</v>
      </c>
      <c r="F14" s="68"/>
      <c r="G14" s="68">
        <v>9</v>
      </c>
      <c r="H14" s="82">
        <f>SUMIFS(TbRegistrosSaida[Valor],TbRegistrosSaida[Mês previsto],G14,TbRegistrosSaida[Ano Previsto],$D$5,TbRegistrosSaida[Data do Caixa Realizado],"",TbRegistrosSaida[Data do Caixa Previsto],"&lt;="&amp;$D$6)</f>
        <v>0</v>
      </c>
      <c r="I14" s="131">
        <f>SUMIFS(TbRegistroEntradas[Valor],TbRegistroEntradas[Mês previsto],G14,TbRegistroEntradas[Ano Previsto],$D$5,TbRegistroEntradas[Data do Caixa Realizado],"",TbRegistroEntradas[Data do Caixa Previsto],"&lt;="&amp;$D$6)</f>
        <v>0</v>
      </c>
      <c r="J14" s="68"/>
      <c r="K14" s="80">
        <f>SUMIFS(TbRegistroEntradas[Valor],TbRegistroEntradas[Conta Nível 2],$K$5,TbRegistroEntradas[Ano 
Competência],$M$4,TbRegistroEntradas[Mês 
Competência],G14,TbRegistroEntradas[Data da Competência],"&lt;="&amp;$D$6)</f>
        <v>0</v>
      </c>
      <c r="L14" s="80" t="str">
        <f t="shared" si="0"/>
        <v>Não Disp</v>
      </c>
      <c r="M14" s="71" t="s">
        <v>548</v>
      </c>
    </row>
    <row r="15" spans="2:13" x14ac:dyDescent="0.25">
      <c r="B15" s="68"/>
      <c r="C15" s="165" t="s">
        <v>597</v>
      </c>
      <c r="D15" s="165"/>
      <c r="E15" s="100">
        <f>SUMIFS(TbRegistroEntradas[Valor],TbRegistroEntradas[Data do Caixa Realizado],"",TbRegistroEntradas[Ano Previsto],D5,TbRegistroEntradas[Data do Caixa Previsto],"&lt;="&amp;D6)</f>
        <v>5413</v>
      </c>
      <c r="F15" s="68"/>
      <c r="G15" s="68">
        <v>10</v>
      </c>
      <c r="H15" s="82">
        <f>SUMIFS(TbRegistrosSaida[Valor],TbRegistrosSaida[Mês previsto],G15,TbRegistrosSaida[Ano Previsto],$D$5,TbRegistrosSaida[Data do Caixa Realizado],"",TbRegistrosSaida[Data do Caixa Previsto],"&lt;="&amp;$D$6)</f>
        <v>0</v>
      </c>
      <c r="I15" s="131">
        <f>SUMIFS(TbRegistroEntradas[Valor],TbRegistroEntradas[Mês previsto],G15,TbRegistroEntradas[Ano Previsto],$D$5,TbRegistroEntradas[Data do Caixa Realizado],"",TbRegistroEntradas[Data do Caixa Previsto],"&lt;="&amp;$D$6)</f>
        <v>0</v>
      </c>
      <c r="J15" s="68"/>
      <c r="K15" s="80">
        <f>SUMIFS(TbRegistroEntradas[Valor],TbRegistroEntradas[Conta Nível 2],$K$5,TbRegistroEntradas[Ano 
Competência],$M$4,TbRegistroEntradas[Mês 
Competência],G15,TbRegistroEntradas[Data da Competência],"&lt;="&amp;$D$6)</f>
        <v>0</v>
      </c>
      <c r="L15" s="80" t="str">
        <f t="shared" si="0"/>
        <v>Não Disp</v>
      </c>
      <c r="M15" s="71" t="s">
        <v>549</v>
      </c>
    </row>
    <row r="16" spans="2:13" x14ac:dyDescent="0.25">
      <c r="B16" s="68"/>
      <c r="C16" s="68"/>
      <c r="D16" s="68"/>
      <c r="E16" s="68"/>
      <c r="F16" s="68"/>
      <c r="G16" s="68">
        <v>11</v>
      </c>
      <c r="H16" s="82">
        <f>SUMIFS(TbRegistrosSaida[Valor],TbRegistrosSaida[Mês previsto],G16,TbRegistrosSaida[Ano Previsto],$D$5,TbRegistrosSaida[Data do Caixa Realizado],"",TbRegistrosSaida[Data do Caixa Previsto],"&lt;="&amp;$D$6)</f>
        <v>0</v>
      </c>
      <c r="I16" s="131">
        <f>SUMIFS(TbRegistroEntradas[Valor],TbRegistroEntradas[Mês previsto],G16,TbRegistroEntradas[Ano Previsto],$D$5,TbRegistroEntradas[Data do Caixa Realizado],"",TbRegistroEntradas[Data do Caixa Previsto],"&lt;="&amp;$D$6)</f>
        <v>0</v>
      </c>
      <c r="J16" s="68"/>
      <c r="K16" s="80">
        <f>SUMIFS(TbRegistroEntradas[Valor],TbRegistroEntradas[Conta Nível 2],$K$5,TbRegistroEntradas[Ano 
Competência],$M$4,TbRegistroEntradas[Mês 
Competência],G16,TbRegistroEntradas[Data da Competência],"&lt;="&amp;$D$6)</f>
        <v>0</v>
      </c>
      <c r="L16" s="80" t="str">
        <f t="shared" si="0"/>
        <v>Não Disp</v>
      </c>
      <c r="M16" s="71" t="s">
        <v>550</v>
      </c>
    </row>
    <row r="17" spans="2:13" x14ac:dyDescent="0.25">
      <c r="B17" s="68"/>
      <c r="C17" s="68"/>
      <c r="D17" s="68"/>
      <c r="E17" s="68"/>
      <c r="F17" s="68"/>
      <c r="G17" s="83">
        <v>12</v>
      </c>
      <c r="H17" s="130">
        <f>SUMIFS(TbRegistrosSaida[Valor],TbRegistrosSaida[Mês previsto],G17,TbRegistrosSaida[Ano Previsto],$D$5,TbRegistrosSaida[Data do Caixa Realizado],"",TbRegistrosSaida[Data do Caixa Previsto],"&lt;="&amp;$D$6)</f>
        <v>0</v>
      </c>
      <c r="I17" s="132">
        <f>SUMIFS(TbRegistroEntradas[Valor],TbRegistroEntradas[Mês previsto],G17,TbRegistroEntradas[Ano Previsto],$D$5,TbRegistroEntradas[Data do Caixa Realizado],"",TbRegistroEntradas[Data do Caixa Previsto],"&lt;="&amp;$D$6)</f>
        <v>0</v>
      </c>
      <c r="J17" s="68"/>
      <c r="K17" s="85">
        <f>SUMIFS(TbRegistroEntradas[Valor],TbRegistroEntradas[Conta Nível 2],$K$5,TbRegistroEntradas[Ano 
Competência],$M$4,TbRegistroEntradas[Mês 
Competência],G17,TbRegistroEntradas[Data da Competência],"&lt;="&amp;$D$6)</f>
        <v>0</v>
      </c>
      <c r="L17" s="85" t="str">
        <f t="shared" si="0"/>
        <v>Não Disp</v>
      </c>
      <c r="M17" s="86" t="s">
        <v>551</v>
      </c>
    </row>
    <row r="18" spans="2:13" x14ac:dyDescent="0.25"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2:13" x14ac:dyDescent="0.25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2:13" x14ac:dyDescent="0.25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</row>
    <row r="21" spans="2:13" x14ac:dyDescent="0.25">
      <c r="B21" s="68"/>
      <c r="C21" s="70" t="s">
        <v>598</v>
      </c>
      <c r="D21" s="68"/>
      <c r="E21" s="68"/>
      <c r="F21" s="87"/>
      <c r="G21" s="68"/>
      <c r="H21" s="68"/>
      <c r="I21" s="68"/>
      <c r="J21" s="68"/>
      <c r="K21" s="68"/>
      <c r="L21" s="68"/>
      <c r="M21" s="68"/>
    </row>
    <row r="22" spans="2:13" x14ac:dyDescent="0.25">
      <c r="B22" s="68"/>
      <c r="C22" s="74" t="s">
        <v>599</v>
      </c>
      <c r="D22" s="75" t="s">
        <v>600</v>
      </c>
      <c r="E22" s="75" t="s">
        <v>601</v>
      </c>
      <c r="F22" s="75" t="s">
        <v>580</v>
      </c>
      <c r="G22" s="68"/>
      <c r="H22" s="68"/>
      <c r="I22" s="68"/>
      <c r="J22" s="68"/>
      <c r="K22" s="68"/>
      <c r="L22" s="68"/>
      <c r="M22" s="68"/>
    </row>
    <row r="23" spans="2:13" x14ac:dyDescent="0.25">
      <c r="B23" s="68"/>
      <c r="C23" s="88">
        <f>D5</f>
        <v>2019</v>
      </c>
      <c r="D23" s="89">
        <f>SUMIFS(TbRegistroEntradas[Valor],TbRegistroEntradas[Á vista],"Vista",TbRegistroEntradas[Ano 
Competência],C23,TbRegistroEntradas[Data da Competência],"&lt;="&amp;D6)</f>
        <v>39573</v>
      </c>
      <c r="E23" s="89">
        <f>SUMIFS(TbRegistroEntradas[Valor],TbRegistroEntradas[Á vista],"Prazo",TbRegistroEntradas[Ano 
Competência],C23,TbRegistroEntradas[Data da Competência],"&lt;="&amp;D6)</f>
        <v>91086</v>
      </c>
      <c r="F23" s="89">
        <f>SUM(D23,E23)</f>
        <v>130659</v>
      </c>
      <c r="G23" s="68"/>
      <c r="H23" s="68"/>
      <c r="I23" s="68"/>
      <c r="J23" s="68"/>
      <c r="K23" s="68"/>
      <c r="L23" s="68"/>
      <c r="M23" s="68"/>
    </row>
    <row r="24" spans="2:13" x14ac:dyDescent="0.2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2:13" x14ac:dyDescent="0.25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</row>
    <row r="26" spans="2:13" x14ac:dyDescent="0.25">
      <c r="B26" s="68"/>
      <c r="C26" s="70" t="s">
        <v>602</v>
      </c>
      <c r="D26" s="68"/>
      <c r="E26" s="68"/>
      <c r="F26" s="68"/>
      <c r="G26" s="68"/>
      <c r="H26" s="70" t="s">
        <v>603</v>
      </c>
      <c r="I26" s="68"/>
      <c r="J26" s="68"/>
      <c r="K26" s="68"/>
      <c r="L26" s="68"/>
      <c r="M26" s="68"/>
    </row>
    <row r="27" spans="2:13" x14ac:dyDescent="0.25">
      <c r="B27" s="68"/>
      <c r="C27" s="74" t="s">
        <v>599</v>
      </c>
      <c r="D27" s="75" t="s">
        <v>604</v>
      </c>
      <c r="E27" s="75" t="s">
        <v>605</v>
      </c>
      <c r="F27" s="75" t="s">
        <v>606</v>
      </c>
      <c r="G27" s="68"/>
      <c r="H27" s="74" t="s">
        <v>599</v>
      </c>
      <c r="I27" s="75" t="s">
        <v>604</v>
      </c>
      <c r="J27" s="75" t="s">
        <v>605</v>
      </c>
      <c r="K27" s="75" t="s">
        <v>606</v>
      </c>
      <c r="L27" s="68"/>
      <c r="M27" s="68"/>
    </row>
    <row r="28" spans="2:13" x14ac:dyDescent="0.25">
      <c r="B28" s="68"/>
      <c r="C28" s="88">
        <f>D5</f>
        <v>2019</v>
      </c>
      <c r="D28" s="90">
        <f ca="1">COUNTIFS(TbRegistroEntradas[Ano 
Competência],C28,TbRegistroEntradas[Dias de 
atraso],"&gt;0",TbRegistroEntradas[Data da Competência],"&lt;="&amp;D6)</f>
        <v>32</v>
      </c>
      <c r="E28" s="90">
        <f ca="1">SUMIFS(TbRegistroEntradas[Dias de 
atraso],TbRegistroEntradas[Ano 
Competência],C28,TbRegistroEntradas[Dias de 
atraso],"&gt;0",TbRegistroEntradas[Data da Competência],"&lt;="&amp;D6)</f>
        <v>53711.527876044252</v>
      </c>
      <c r="F28" s="90">
        <f ca="1">E28/D28</f>
        <v>1678.4852461263829</v>
      </c>
      <c r="G28" s="68"/>
      <c r="H28" s="88">
        <f>D5</f>
        <v>2019</v>
      </c>
      <c r="I28" s="90">
        <f ca="1">COUNTIFS(TbRegistrosSaida[Ano 
Competência],C28,TbRegistrosSaida[Dias de 
atraso],"&gt;0",TbRegistrosSaida[Data da Competência],"&lt;="&amp;D6)</f>
        <v>16</v>
      </c>
      <c r="J28" s="116">
        <f ca="1">SUMIFS(TbRegistrosSaida[Dias de 
atraso],TbRegistrosSaida[Ano 
Competência],C28,TbRegistrosSaida[Dias de 
atraso],"&gt;0",TbRegistrosSaida[Data da Competência],"&lt;="&amp;D6)</f>
        <v>5865.370236028175</v>
      </c>
      <c r="K28" s="90">
        <f ca="1">J28/I28</f>
        <v>366.58563975176094</v>
      </c>
      <c r="L28" s="68"/>
      <c r="M28" s="68"/>
    </row>
    <row r="29" spans="2:13" x14ac:dyDescent="0.25">
      <c r="B29" s="68"/>
      <c r="C29" s="68"/>
      <c r="D29" s="68"/>
      <c r="E29" s="68"/>
      <c r="F29" s="68"/>
      <c r="G29" s="68"/>
      <c r="H29" s="68"/>
      <c r="I29" s="115"/>
      <c r="J29" s="68"/>
      <c r="K29" s="68"/>
      <c r="L29" s="68"/>
      <c r="M29" s="68"/>
    </row>
    <row r="30" spans="2:13" x14ac:dyDescent="0.25"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</row>
    <row r="31" spans="2:13" x14ac:dyDescent="0.25">
      <c r="B31" s="68"/>
      <c r="C31" s="70" t="s">
        <v>607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2:13" x14ac:dyDescent="0.25">
      <c r="B32" s="68"/>
      <c r="C32" s="92" t="s">
        <v>599</v>
      </c>
      <c r="D32" s="79" t="s">
        <v>537</v>
      </c>
      <c r="E32" s="79" t="s">
        <v>538</v>
      </c>
      <c r="F32" s="79" t="s">
        <v>609</v>
      </c>
      <c r="G32" s="68"/>
      <c r="H32" s="70" t="s">
        <v>608</v>
      </c>
      <c r="I32" s="91">
        <f>D5</f>
        <v>2019</v>
      </c>
      <c r="J32" s="68"/>
      <c r="K32" s="68"/>
      <c r="L32" s="68"/>
      <c r="M32" s="68"/>
    </row>
    <row r="33" spans="2:13" x14ac:dyDescent="0.25">
      <c r="B33" s="68"/>
      <c r="C33" s="121">
        <f>D5</f>
        <v>2019</v>
      </c>
      <c r="D33" s="94">
        <f>SUMIFS(TbRegistroEntradas[Valor],TbRegistroEntradas[Ano 
Competência],C33,TbRegistroEntradas[Data da Competência],"&lt;="&amp;D6)</f>
        <v>130659</v>
      </c>
      <c r="E33" s="94">
        <f>SUMIFS(TbRegistrosSaida[Valor],TbRegistrosSaida[Ano 
Competência],C33,TbRegistrosSaida[Data da Competência],"&lt;="&amp;D6)</f>
        <v>169790</v>
      </c>
      <c r="F33" s="95">
        <f>D33-E33</f>
        <v>-39131</v>
      </c>
      <c r="G33" s="68"/>
      <c r="H33" s="74" t="s">
        <v>592</v>
      </c>
      <c r="I33" s="93" t="str">
        <f>'Dashboard financeiro atual'!L15</f>
        <v>Vestuário</v>
      </c>
      <c r="J33" s="68"/>
      <c r="K33" s="68"/>
      <c r="L33" s="68"/>
      <c r="M33" s="68"/>
    </row>
    <row r="34" spans="2:13" x14ac:dyDescent="0.25">
      <c r="B34" s="68"/>
      <c r="C34" s="68"/>
      <c r="D34" s="68"/>
      <c r="E34" s="68"/>
      <c r="F34" s="68"/>
      <c r="G34" s="68"/>
      <c r="H34" s="68">
        <v>1</v>
      </c>
      <c r="I34" s="80">
        <f>SUMIFS(TbRegistrosSaida[Valor],TbRegistrosSaida[Conta Nível 2],$I$33,TbRegistrosSaida[Ano 
Competência],$I$32,TbRegistrosSaida[Mês 
Competência],H34,TbRegistrosSaida[Data da Competência],"&lt;="&amp;$D$6)</f>
        <v>14690</v>
      </c>
      <c r="J34" s="68"/>
      <c r="K34" s="68"/>
      <c r="L34" s="68"/>
      <c r="M34" s="68"/>
    </row>
    <row r="35" spans="2:13" x14ac:dyDescent="0.25">
      <c r="B35" s="68"/>
      <c r="C35" s="68"/>
      <c r="D35" s="68"/>
      <c r="E35" s="68"/>
      <c r="F35" s="68"/>
      <c r="G35" s="68"/>
      <c r="H35" s="68">
        <v>2</v>
      </c>
      <c r="I35" s="80">
        <f>SUMIFS(TbRegistrosSaida[Valor],TbRegistrosSaida[Conta Nível 2],$I$33,TbRegistrosSaida[Ano 
Competência],$I$32,TbRegistrosSaida[Mês 
Competência],H35,TbRegistrosSaida[Data da Competência],"&lt;="&amp;$D$6)</f>
        <v>6991</v>
      </c>
      <c r="J35" s="68"/>
      <c r="K35" s="68"/>
      <c r="L35" s="68"/>
      <c r="M35" s="68"/>
    </row>
    <row r="36" spans="2:13" x14ac:dyDescent="0.25">
      <c r="B36" s="68"/>
      <c r="C36" s="68"/>
      <c r="D36" s="68"/>
      <c r="E36" s="68"/>
      <c r="F36" s="68"/>
      <c r="G36" s="68"/>
      <c r="H36" s="68">
        <v>3</v>
      </c>
      <c r="I36" s="80">
        <f>SUMIFS(TbRegistrosSaida[Valor],TbRegistrosSaida[Conta Nível 2],$I$33,TbRegistrosSaida[Ano 
Competência],$I$32,TbRegistrosSaida[Mês 
Competência],H36,TbRegistrosSaida[Data da Competência],"&lt;="&amp;$D$6)</f>
        <v>8219</v>
      </c>
      <c r="J36" s="68"/>
      <c r="K36" s="68"/>
      <c r="L36" s="68"/>
      <c r="M36" s="68"/>
    </row>
    <row r="37" spans="2:13" x14ac:dyDescent="0.25">
      <c r="B37" s="68"/>
      <c r="C37" s="68"/>
      <c r="D37" s="68"/>
      <c r="E37" s="68"/>
      <c r="F37" s="68"/>
      <c r="G37" s="68"/>
      <c r="H37" s="68">
        <v>4</v>
      </c>
      <c r="I37" s="80">
        <f>SUMIFS(TbRegistrosSaida[Valor],TbRegistrosSaida[Conta Nível 2],$I$33,TbRegistrosSaida[Ano 
Competência],$I$32,TbRegistrosSaida[Mês 
Competência],H37,TbRegistrosSaida[Data da Competência],"&lt;="&amp;$D$6)</f>
        <v>19692</v>
      </c>
      <c r="J37" s="68"/>
      <c r="K37" s="68"/>
      <c r="L37" s="68"/>
      <c r="M37" s="68"/>
    </row>
    <row r="38" spans="2:13" x14ac:dyDescent="0.25">
      <c r="B38" s="68"/>
      <c r="C38" s="68"/>
      <c r="D38" s="68"/>
      <c r="E38" s="68"/>
      <c r="F38" s="68"/>
      <c r="G38" s="68"/>
      <c r="H38" s="68">
        <v>5</v>
      </c>
      <c r="I38" s="80">
        <f>SUMIFS(TbRegistrosSaida[Valor],TbRegistrosSaida[Conta Nível 2],$I$33,TbRegistrosSaida[Ano 
Competência],$I$32,TbRegistrosSaida[Mês 
Competência],H38,TbRegistrosSaida[Data da Competência],"&lt;="&amp;$D$6)</f>
        <v>16406</v>
      </c>
      <c r="J38" s="68"/>
      <c r="K38" s="68"/>
      <c r="L38" s="68"/>
      <c r="M38" s="68"/>
    </row>
    <row r="39" spans="2:13" x14ac:dyDescent="0.25">
      <c r="B39" s="68"/>
      <c r="C39" s="68"/>
      <c r="D39" s="68"/>
      <c r="E39" s="68"/>
      <c r="F39" s="68"/>
      <c r="G39" s="68"/>
      <c r="H39" s="68">
        <v>6</v>
      </c>
      <c r="I39" s="80">
        <f>SUMIFS(TbRegistrosSaida[Valor],TbRegistrosSaida[Conta Nível 2],$I$33,TbRegistrosSaida[Ano 
Competência],$I$32,TbRegistrosSaida[Mês 
Competência],H39,TbRegistrosSaida[Data da Competência],"&lt;="&amp;$D$6)</f>
        <v>5157</v>
      </c>
      <c r="J39" s="68"/>
      <c r="K39" s="68"/>
      <c r="L39" s="68"/>
      <c r="M39" s="68"/>
    </row>
    <row r="40" spans="2:13" x14ac:dyDescent="0.25">
      <c r="B40" s="68"/>
      <c r="C40" s="68"/>
      <c r="D40" s="68"/>
      <c r="E40" s="68"/>
      <c r="F40" s="68"/>
      <c r="G40" s="68"/>
      <c r="H40" s="68">
        <v>7</v>
      </c>
      <c r="I40" s="80">
        <f>SUMIFS(TbRegistrosSaida[Valor],TbRegistrosSaida[Conta Nível 2],$I$33,TbRegistrosSaida[Ano 
Competência],$I$32,TbRegistrosSaida[Mês 
Competência],H40,TbRegistrosSaida[Data da Competência],"&lt;="&amp;$D$6)</f>
        <v>0</v>
      </c>
      <c r="J40" s="68"/>
      <c r="K40" s="68"/>
      <c r="L40" s="68"/>
      <c r="M40" s="68"/>
    </row>
    <row r="41" spans="2:13" x14ac:dyDescent="0.25">
      <c r="B41" s="68"/>
      <c r="C41" s="68"/>
      <c r="D41" s="68"/>
      <c r="E41" s="68"/>
      <c r="F41" s="68"/>
      <c r="G41" s="68"/>
      <c r="H41" s="68">
        <v>8</v>
      </c>
      <c r="I41" s="80">
        <f>SUMIFS(TbRegistrosSaida[Valor],TbRegistrosSaida[Conta Nível 2],$I$33,TbRegistrosSaida[Ano 
Competência],$I$32,TbRegistrosSaida[Mês 
Competência],H41,TbRegistrosSaida[Data da Competência],"&lt;="&amp;$D$6)</f>
        <v>0</v>
      </c>
      <c r="J41" s="68"/>
      <c r="K41" s="68"/>
      <c r="L41" s="68"/>
      <c r="M41" s="68"/>
    </row>
    <row r="42" spans="2:13" x14ac:dyDescent="0.25">
      <c r="B42" s="68"/>
      <c r="C42" s="68"/>
      <c r="D42" s="68"/>
      <c r="E42" s="68"/>
      <c r="F42" s="68"/>
      <c r="G42" s="68"/>
      <c r="H42" s="68">
        <v>9</v>
      </c>
      <c r="I42" s="80">
        <f>SUMIFS(TbRegistrosSaida[Valor],TbRegistrosSaida[Conta Nível 2],$I$33,TbRegistrosSaida[Ano 
Competência],$I$32,TbRegistrosSaida[Mês 
Competência],H42,TbRegistrosSaida[Data da Competência],"&lt;="&amp;$D$6)</f>
        <v>0</v>
      </c>
      <c r="J42" s="68"/>
      <c r="K42" s="68"/>
      <c r="L42" s="68"/>
      <c r="M42" s="68"/>
    </row>
    <row r="43" spans="2:13" x14ac:dyDescent="0.25">
      <c r="B43" s="68"/>
      <c r="C43" s="68"/>
      <c r="D43" s="68"/>
      <c r="E43" s="68"/>
      <c r="F43" s="68"/>
      <c r="G43" s="68"/>
      <c r="H43" s="68">
        <v>10</v>
      </c>
      <c r="I43" s="80">
        <f>SUMIFS(TbRegistrosSaida[Valor],TbRegistrosSaida[Conta Nível 2],$I$33,TbRegistrosSaida[Ano 
Competência],$I$32,TbRegistrosSaida[Mês 
Competência],H43,TbRegistrosSaida[Data da Competência],"&lt;="&amp;$D$6)</f>
        <v>0</v>
      </c>
      <c r="J43" s="68"/>
      <c r="K43" s="68"/>
      <c r="L43" s="68"/>
      <c r="M43" s="68"/>
    </row>
    <row r="44" spans="2:13" x14ac:dyDescent="0.25">
      <c r="B44" s="68"/>
      <c r="C44" s="68"/>
      <c r="D44" s="68"/>
      <c r="E44" s="68"/>
      <c r="F44" s="68"/>
      <c r="G44" s="68"/>
      <c r="H44" s="68">
        <v>11</v>
      </c>
      <c r="I44" s="80">
        <f>SUMIFS(TbRegistrosSaida[Valor],TbRegistrosSaida[Conta Nível 2],$I$33,TbRegistrosSaida[Ano 
Competência],$I$32,TbRegistrosSaida[Mês 
Competência],H44,TbRegistrosSaida[Data da Competência],"&lt;="&amp;$D$6)</f>
        <v>0</v>
      </c>
      <c r="J44" s="68"/>
      <c r="K44" s="68"/>
      <c r="L44" s="68"/>
      <c r="M44" s="68"/>
    </row>
    <row r="45" spans="2:13" x14ac:dyDescent="0.25">
      <c r="C45" s="68"/>
      <c r="D45" s="68"/>
      <c r="E45" s="68"/>
      <c r="F45" s="68"/>
      <c r="H45" s="83">
        <v>12</v>
      </c>
      <c r="I45" s="80">
        <f>SUMIFS(TbRegistrosSaida[Valor],TbRegistrosSaida[Conta Nível 2],$I$33,TbRegistrosSaida[Ano 
Competência],$I$32,TbRegistrosSaida[Mês 
Competência],H45,TbRegistrosSaida[Data da Competência],"&lt;="&amp;$D$6)</f>
        <v>0</v>
      </c>
      <c r="J45" s="68"/>
      <c r="K45" s="68"/>
    </row>
    <row r="46" spans="2:13" x14ac:dyDescent="0.25">
      <c r="H46" s="74" t="s">
        <v>580</v>
      </c>
      <c r="I46" s="96">
        <f>SUM(I34:I45)</f>
        <v>71155</v>
      </c>
    </row>
  </sheetData>
  <mergeCells count="2">
    <mergeCell ref="C14:D14"/>
    <mergeCell ref="C15:D15"/>
  </mergeCells>
  <conditionalFormatting sqref="D12">
    <cfRule type="cellIs" dxfId="1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sqref="A1:G5"/>
    </sheetView>
  </sheetViews>
  <sheetFormatPr defaultRowHeight="15" x14ac:dyDescent="0.25"/>
  <cols>
    <col min="1" max="1" width="22.28515625" style="1" bestFit="1" customWidth="1"/>
    <col min="2" max="2" width="20" style="1" bestFit="1" customWidth="1"/>
    <col min="3" max="3" width="20.85546875" style="1" bestFit="1" customWidth="1"/>
    <col min="4" max="4" width="23.85546875" style="2" customWidth="1"/>
    <col min="5" max="5" width="27.28515625" style="2" customWidth="1"/>
    <col min="6" max="6" width="8.85546875" style="2" bestFit="1" customWidth="1"/>
    <col min="7" max="7" width="19.2851562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43146</v>
      </c>
      <c r="B2" s="1">
        <v>43146</v>
      </c>
      <c r="C2" s="1">
        <v>43146</v>
      </c>
      <c r="D2" s="2" t="s">
        <v>0</v>
      </c>
      <c r="E2" s="2" t="s">
        <v>24</v>
      </c>
      <c r="F2" s="2" t="s">
        <v>1</v>
      </c>
      <c r="G2" s="3">
        <v>500</v>
      </c>
    </row>
    <row r="3" spans="1:7" x14ac:dyDescent="0.25">
      <c r="A3" s="1">
        <v>43530</v>
      </c>
      <c r="B3" s="1">
        <v>43466</v>
      </c>
      <c r="C3" s="1">
        <v>43496</v>
      </c>
      <c r="D3" s="2" t="s">
        <v>0</v>
      </c>
      <c r="E3" s="2" t="s">
        <v>24</v>
      </c>
      <c r="F3" s="2" t="s">
        <v>2</v>
      </c>
      <c r="G3" s="3">
        <v>823</v>
      </c>
    </row>
    <row r="4" spans="1:7" x14ac:dyDescent="0.25">
      <c r="A4" s="1">
        <v>43467</v>
      </c>
      <c r="B4" s="1">
        <v>43467</v>
      </c>
      <c r="C4" s="1">
        <v>43467</v>
      </c>
      <c r="D4" s="2" t="s">
        <v>0</v>
      </c>
      <c r="E4" s="2" t="s">
        <v>3</v>
      </c>
      <c r="F4" s="2" t="s">
        <v>4</v>
      </c>
      <c r="G4" s="3">
        <v>2689</v>
      </c>
    </row>
    <row r="5" spans="1:7" x14ac:dyDescent="0.25">
      <c r="A5" s="1">
        <v>43535</v>
      </c>
      <c r="B5" s="1">
        <v>43467</v>
      </c>
      <c r="C5" s="1">
        <v>43497</v>
      </c>
      <c r="D5" s="2" t="s">
        <v>0</v>
      </c>
      <c r="E5" s="2" t="s">
        <v>5</v>
      </c>
      <c r="F5" s="2" t="s">
        <v>6</v>
      </c>
      <c r="G5" s="3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opLeftCell="A2" workbookViewId="0">
      <selection activeCell="D11" sqref="D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 t="s">
        <v>25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/>
    <row r="4" spans="2:14" ht="20.100000000000001" customHeight="1" x14ac:dyDescent="0.25">
      <c r="B4" t="s">
        <v>41</v>
      </c>
    </row>
    <row r="5" spans="2:14" ht="20.100000000000001" customHeight="1" x14ac:dyDescent="0.25">
      <c r="B5" t="s">
        <v>42</v>
      </c>
    </row>
    <row r="6" spans="2:14" ht="20.100000000000001" customHeight="1" x14ac:dyDescent="0.25">
      <c r="B6" t="s">
        <v>43</v>
      </c>
    </row>
    <row r="7" spans="2:14" ht="20.100000000000001" customHeight="1" x14ac:dyDescent="0.25">
      <c r="B7" t="s">
        <v>44</v>
      </c>
    </row>
    <row r="8" spans="2:14" ht="20.100000000000001" customHeight="1" x14ac:dyDescent="0.25"/>
    <row r="9" spans="2:14" ht="20.100000000000001" customHeight="1" x14ac:dyDescent="0.25">
      <c r="B9" t="s">
        <v>50</v>
      </c>
      <c r="G9" t="s">
        <v>51</v>
      </c>
      <c r="J9" t="s">
        <v>57</v>
      </c>
    </row>
    <row r="10" spans="2:14" ht="20.100000000000001" customHeight="1" x14ac:dyDescent="0.25">
      <c r="D10" t="s">
        <v>58</v>
      </c>
    </row>
    <row r="11" spans="2:14" ht="20.100000000000001" customHeight="1" x14ac:dyDescent="0.25">
      <c r="B11" t="s">
        <v>45</v>
      </c>
      <c r="G11" t="s">
        <v>52</v>
      </c>
    </row>
    <row r="12" spans="2:14" ht="20.100000000000001" customHeight="1" x14ac:dyDescent="0.25">
      <c r="B12" t="s">
        <v>46</v>
      </c>
      <c r="G12" t="s">
        <v>14</v>
      </c>
      <c r="J12" t="s">
        <v>55</v>
      </c>
    </row>
    <row r="13" spans="2:14" ht="20.100000000000001" customHeight="1" x14ac:dyDescent="0.25">
      <c r="B13" t="s">
        <v>47</v>
      </c>
      <c r="G13" t="s">
        <v>19</v>
      </c>
      <c r="J13" t="s">
        <v>56</v>
      </c>
    </row>
    <row r="14" spans="2:14" ht="20.100000000000001" customHeight="1" x14ac:dyDescent="0.25">
      <c r="B14" t="s">
        <v>48</v>
      </c>
      <c r="G14" t="s">
        <v>53</v>
      </c>
    </row>
    <row r="15" spans="2:14" ht="20.100000000000001" customHeight="1" x14ac:dyDescent="0.25">
      <c r="B15" t="s">
        <v>0</v>
      </c>
      <c r="D15" t="s">
        <v>17</v>
      </c>
      <c r="G15" t="s">
        <v>54</v>
      </c>
    </row>
    <row r="16" spans="2:14" ht="20.100000000000001" customHeight="1" x14ac:dyDescent="0.25">
      <c r="D16" t="s">
        <v>3</v>
      </c>
    </row>
    <row r="17" spans="4:4" ht="20.100000000000001" customHeight="1" x14ac:dyDescent="0.25">
      <c r="D17" t="s">
        <v>5</v>
      </c>
    </row>
    <row r="18" spans="4:4" x14ac:dyDescent="0.25">
      <c r="D18" t="s">
        <v>24</v>
      </c>
    </row>
    <row r="19" spans="4:4" x14ac:dyDescent="0.25">
      <c r="D19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20.85546875" bestFit="1" customWidth="1"/>
    <col min="4" max="4" width="23.7109375" bestFit="1" customWidth="1"/>
    <col min="5" max="5" width="39.28515625" bestFit="1" customWidth="1"/>
    <col min="6" max="6" width="12.5703125" customWidth="1"/>
    <col min="7" max="7" width="14.8554687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43147</v>
      </c>
      <c r="B2" s="1">
        <v>43147</v>
      </c>
      <c r="C2" s="1">
        <v>43147</v>
      </c>
      <c r="D2" t="s">
        <v>14</v>
      </c>
      <c r="E2" t="s">
        <v>15</v>
      </c>
      <c r="F2" t="s">
        <v>23</v>
      </c>
      <c r="G2" s="3">
        <v>250</v>
      </c>
    </row>
    <row r="3" spans="1:7" x14ac:dyDescent="0.25">
      <c r="A3" s="1">
        <v>43531</v>
      </c>
      <c r="B3" s="1">
        <v>43466</v>
      </c>
      <c r="C3" s="1">
        <v>43496</v>
      </c>
      <c r="D3" t="s">
        <v>16</v>
      </c>
      <c r="E3" t="s">
        <v>17</v>
      </c>
      <c r="F3" t="s">
        <v>18</v>
      </c>
      <c r="G3" s="3">
        <v>987</v>
      </c>
    </row>
    <row r="4" spans="1:7" x14ac:dyDescent="0.25">
      <c r="A4" s="1">
        <v>43496</v>
      </c>
      <c r="B4" s="1">
        <v>43466</v>
      </c>
      <c r="C4" s="1">
        <v>43496</v>
      </c>
      <c r="D4" t="s">
        <v>19</v>
      </c>
      <c r="E4" t="s">
        <v>20</v>
      </c>
      <c r="F4" t="s">
        <v>21</v>
      </c>
      <c r="G4" s="3">
        <v>4615.2</v>
      </c>
    </row>
    <row r="5" spans="1:7" x14ac:dyDescent="0.25">
      <c r="A5" s="1">
        <v>43496</v>
      </c>
      <c r="B5" s="1">
        <v>43466</v>
      </c>
      <c r="C5" s="1">
        <v>43496</v>
      </c>
      <c r="D5" t="s">
        <v>19</v>
      </c>
      <c r="E5" t="s">
        <v>22</v>
      </c>
      <c r="F5" t="s">
        <v>21</v>
      </c>
      <c r="G5" s="3">
        <v>15384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 t="s">
        <v>30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19.5" customHeight="1" x14ac:dyDescent="0.25">
      <c r="B3" s="10" t="s">
        <v>59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8" t="s">
        <v>60</v>
      </c>
    </row>
    <row r="5" spans="2:14" ht="20.100000000000001" customHeight="1" x14ac:dyDescent="0.25">
      <c r="B5" t="s">
        <v>45</v>
      </c>
    </row>
    <row r="6" spans="2:14" ht="20.100000000000001" customHeight="1" x14ac:dyDescent="0.25">
      <c r="B6" t="s">
        <v>61</v>
      </c>
    </row>
    <row r="7" spans="2:14" ht="20.100000000000001" customHeight="1" x14ac:dyDescent="0.25">
      <c r="B7" t="s">
        <v>62</v>
      </c>
    </row>
    <row r="8" spans="2:14" ht="20.100000000000001" customHeight="1" x14ac:dyDescent="0.25">
      <c r="B8" t="s">
        <v>48</v>
      </c>
    </row>
    <row r="9" spans="2:14" ht="20.100000000000001" customHeight="1" x14ac:dyDescent="0.25">
      <c r="B9" t="s">
        <v>0</v>
      </c>
    </row>
    <row r="10" spans="2:14" ht="20.100000000000001" customHeight="1" x14ac:dyDescent="0.25">
      <c r="B10" t="s">
        <v>63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 t="s">
        <v>31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134" t="s">
        <v>64</v>
      </c>
      <c r="C3" s="13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t="s">
        <v>60</v>
      </c>
      <c r="C4" t="s">
        <v>65</v>
      </c>
    </row>
    <row r="5" spans="2:14" ht="20.100000000000001" customHeight="1" x14ac:dyDescent="0.25">
      <c r="B5" t="s">
        <v>45</v>
      </c>
      <c r="C5" t="s">
        <v>66</v>
      </c>
      <c r="D5" t="s">
        <v>61</v>
      </c>
      <c r="H5" t="s">
        <v>17</v>
      </c>
    </row>
    <row r="6" spans="2:14" ht="20.100000000000001" customHeight="1" x14ac:dyDescent="0.25">
      <c r="B6" t="s">
        <v>47</v>
      </c>
      <c r="C6" t="s">
        <v>67</v>
      </c>
    </row>
    <row r="7" spans="2:14" ht="20.100000000000001" customHeight="1" x14ac:dyDescent="0.25">
      <c r="B7" t="s">
        <v>48</v>
      </c>
      <c r="C7" t="s">
        <v>68</v>
      </c>
    </row>
    <row r="8" spans="2:14" ht="20.100000000000001" customHeight="1" x14ac:dyDescent="0.25">
      <c r="B8" t="s">
        <v>0</v>
      </c>
      <c r="C8" t="s">
        <v>17</v>
      </c>
    </row>
    <row r="9" spans="2:14" ht="20.100000000000001" customHeight="1" x14ac:dyDescent="0.25">
      <c r="B9" t="s">
        <v>0</v>
      </c>
      <c r="C9" t="s">
        <v>3</v>
      </c>
    </row>
    <row r="10" spans="2:14" ht="20.100000000000001" customHeight="1" x14ac:dyDescent="0.25">
      <c r="B10" t="s">
        <v>0</v>
      </c>
      <c r="C10" t="s">
        <v>5</v>
      </c>
    </row>
    <row r="11" spans="2:14" ht="20.100000000000001" customHeight="1" x14ac:dyDescent="0.25">
      <c r="B11" t="s">
        <v>0</v>
      </c>
      <c r="C11" t="s">
        <v>24</v>
      </c>
    </row>
    <row r="12" spans="2:14" ht="20.100000000000001" customHeight="1" x14ac:dyDescent="0.25">
      <c r="B12" t="s">
        <v>0</v>
      </c>
      <c r="C12" t="s">
        <v>49</v>
      </c>
    </row>
    <row r="13" spans="2:14" ht="20.100000000000001" customHeight="1" x14ac:dyDescent="0.25">
      <c r="B13" t="s">
        <v>61</v>
      </c>
      <c r="C13" t="s">
        <v>78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3">
    <dataValidation type="list" allowBlank="1" showInputMessage="1" showErrorMessage="1" sqref="B5:B13">
      <formula1>PcEntradasN1</formula1>
    </dataValidation>
    <dataValidation type="list" allowBlank="1" showInputMessage="1" showErrorMessage="1" sqref="D5">
      <formula1>PcEntradasN2N1</formula1>
    </dataValidation>
    <dataValidation type="list" allowBlank="1" showInputMessage="1" showErrorMessage="1" sqref="H5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 t="s">
        <v>37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11" t="s">
        <v>69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t="s">
        <v>60</v>
      </c>
    </row>
    <row r="5" spans="2:14" ht="20.100000000000001" customHeight="1" x14ac:dyDescent="0.25">
      <c r="B5" t="s">
        <v>16</v>
      </c>
    </row>
    <row r="6" spans="2:14" ht="20.100000000000001" customHeight="1" x14ac:dyDescent="0.25">
      <c r="B6" t="s">
        <v>14</v>
      </c>
    </row>
    <row r="7" spans="2:14" ht="20.100000000000001" customHeight="1" x14ac:dyDescent="0.25">
      <c r="B7" t="s">
        <v>19</v>
      </c>
    </row>
    <row r="8" spans="2:14" ht="20.100000000000001" customHeight="1" x14ac:dyDescent="0.25">
      <c r="B8" t="s">
        <v>70</v>
      </c>
    </row>
    <row r="9" spans="2:14" ht="20.100000000000001" customHeight="1" x14ac:dyDescent="0.25">
      <c r="B9" t="s">
        <v>71</v>
      </c>
    </row>
    <row r="10" spans="2:14" ht="20.100000000000001" customHeight="1" x14ac:dyDescent="0.25">
      <c r="B10" t="s">
        <v>72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pane ySplit="4" topLeftCell="A5" activePane="bottomLeft" state="frozen"/>
      <selection pane="bottomLeft" activeCell="C5" sqref="C5:C16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 t="s">
        <v>40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136" t="s">
        <v>73</v>
      </c>
      <c r="C3" s="137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t="s">
        <v>60</v>
      </c>
      <c r="C4" t="s">
        <v>65</v>
      </c>
    </row>
    <row r="5" spans="2:14" ht="20.100000000000001" customHeight="1" x14ac:dyDescent="0.25">
      <c r="B5" t="s">
        <v>52</v>
      </c>
      <c r="C5" t="s">
        <v>17</v>
      </c>
    </row>
    <row r="6" spans="2:14" ht="20.100000000000001" customHeight="1" x14ac:dyDescent="0.25">
      <c r="B6" s="9" t="s">
        <v>52</v>
      </c>
      <c r="C6" t="s">
        <v>3</v>
      </c>
    </row>
    <row r="7" spans="2:14" ht="20.100000000000001" customHeight="1" x14ac:dyDescent="0.25">
      <c r="B7" t="s">
        <v>52</v>
      </c>
      <c r="C7" t="s">
        <v>5</v>
      </c>
    </row>
    <row r="8" spans="2:14" ht="20.100000000000001" customHeight="1" x14ac:dyDescent="0.25">
      <c r="B8" t="s">
        <v>52</v>
      </c>
      <c r="C8" t="s">
        <v>49</v>
      </c>
      <c r="J8" t="s">
        <v>79</v>
      </c>
    </row>
    <row r="9" spans="2:14" ht="20.100000000000001" customHeight="1" x14ac:dyDescent="0.25">
      <c r="B9" t="s">
        <v>16</v>
      </c>
      <c r="C9" t="s">
        <v>77</v>
      </c>
      <c r="J9" t="s">
        <v>80</v>
      </c>
    </row>
    <row r="10" spans="2:14" ht="20.100000000000001" customHeight="1" x14ac:dyDescent="0.25">
      <c r="B10" t="s">
        <v>14</v>
      </c>
      <c r="C10" t="s">
        <v>74</v>
      </c>
    </row>
    <row r="11" spans="2:14" ht="20.100000000000001" customHeight="1" x14ac:dyDescent="0.25">
      <c r="B11" t="s">
        <v>14</v>
      </c>
      <c r="C11" t="s">
        <v>15</v>
      </c>
    </row>
    <row r="12" spans="2:14" ht="20.100000000000001" customHeight="1" x14ac:dyDescent="0.25">
      <c r="B12" t="s">
        <v>19</v>
      </c>
      <c r="C12" t="s">
        <v>20</v>
      </c>
    </row>
    <row r="13" spans="2:14" ht="20.100000000000001" customHeight="1" x14ac:dyDescent="0.25">
      <c r="B13" t="s">
        <v>19</v>
      </c>
      <c r="C13" t="s">
        <v>22</v>
      </c>
    </row>
    <row r="14" spans="2:14" ht="20.100000000000001" customHeight="1" x14ac:dyDescent="0.25">
      <c r="B14" t="s">
        <v>70</v>
      </c>
      <c r="C14" t="s">
        <v>75</v>
      </c>
    </row>
    <row r="15" spans="2:14" ht="20.100000000000001" customHeight="1" x14ac:dyDescent="0.25">
      <c r="B15" t="s">
        <v>70</v>
      </c>
      <c r="C15" t="s">
        <v>76</v>
      </c>
    </row>
    <row r="16" spans="2:14" ht="20.100000000000001" customHeight="1" x14ac:dyDescent="0.25">
      <c r="B16" t="s">
        <v>72</v>
      </c>
      <c r="C16" t="s">
        <v>78</v>
      </c>
    </row>
    <row r="17" ht="20.100000000000001" customHeight="1" x14ac:dyDescent="0.25"/>
    <row r="18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TBPCSaidasN1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36"/>
  <sheetViews>
    <sheetView showGridLines="0" zoomScaleNormal="100" workbookViewId="0">
      <pane ySplit="5" topLeftCell="A6" activePane="bottomLeft" state="frozen"/>
      <selection pane="bottomLeft" activeCell="I1" sqref="I1:Q1048576"/>
    </sheetView>
  </sheetViews>
  <sheetFormatPr defaultColWidth="0" defaultRowHeight="15" x14ac:dyDescent="0.25"/>
  <cols>
    <col min="1" max="1" width="1.7109375" customWidth="1"/>
    <col min="2" max="4" width="18.7109375" customWidth="1"/>
    <col min="5" max="6" width="31.7109375" customWidth="1"/>
    <col min="7" max="7" width="45.42578125" customWidth="1"/>
    <col min="8" max="8" width="18.140625" customWidth="1"/>
    <col min="9" max="9" width="12.28515625" hidden="1" customWidth="1"/>
    <col min="10" max="10" width="12.42578125" hidden="1" customWidth="1"/>
    <col min="11" max="12" width="15" hidden="1" customWidth="1"/>
    <col min="13" max="16" width="7.7109375" hidden="1" customWidth="1"/>
    <col min="17" max="17" width="11.85546875" hidden="1" customWidth="1"/>
    <col min="18" max="16381" width="9.140625" hidden="1"/>
    <col min="16382" max="16382" width="2.28515625" hidden="1" customWidth="1"/>
    <col min="16383" max="16383" width="8.28515625" hidden="1" customWidth="1"/>
    <col min="16384" max="16384" width="5.140625" hidden="1" customWidth="1"/>
  </cols>
  <sheetData>
    <row r="1" spans="2:17" ht="45" customHeight="1" x14ac:dyDescent="0.25">
      <c r="B1" s="6"/>
      <c r="C1" s="6"/>
      <c r="D1" s="6"/>
      <c r="E1" s="6"/>
      <c r="F1" s="6"/>
      <c r="G1" s="6"/>
      <c r="H1" s="7" t="s">
        <v>39</v>
      </c>
    </row>
    <row r="2" spans="2:17" ht="39.950000000000003" customHeight="1" x14ac:dyDescent="0.25">
      <c r="B2" s="5"/>
      <c r="C2" s="5"/>
      <c r="D2" s="5"/>
      <c r="E2" s="5"/>
      <c r="F2" s="5"/>
      <c r="G2" s="5"/>
      <c r="H2" s="5"/>
    </row>
    <row r="3" spans="2:17" ht="20.100000000000001" customHeight="1" x14ac:dyDescent="0.25"/>
    <row r="4" spans="2:17" ht="20.100000000000001" customHeight="1" x14ac:dyDescent="0.25"/>
    <row r="5" spans="2:17" s="16" customFormat="1" ht="33.950000000000003" customHeight="1" x14ac:dyDescent="0.25">
      <c r="B5" s="17" t="s">
        <v>9</v>
      </c>
      <c r="C5" s="17" t="s">
        <v>7</v>
      </c>
      <c r="D5" s="17" t="s">
        <v>8</v>
      </c>
      <c r="E5" s="18" t="s">
        <v>10</v>
      </c>
      <c r="F5" s="18" t="s">
        <v>11</v>
      </c>
      <c r="G5" s="18" t="s">
        <v>12</v>
      </c>
      <c r="H5" s="19" t="s">
        <v>13</v>
      </c>
      <c r="I5" s="18" t="s">
        <v>560</v>
      </c>
      <c r="J5" s="18" t="s">
        <v>561</v>
      </c>
      <c r="K5" s="17" t="s">
        <v>562</v>
      </c>
      <c r="L5" s="17" t="s">
        <v>563</v>
      </c>
      <c r="M5" s="17" t="s">
        <v>571</v>
      </c>
      <c r="N5" s="17" t="s">
        <v>572</v>
      </c>
      <c r="O5" s="17" t="s">
        <v>613</v>
      </c>
      <c r="P5" s="17" t="s">
        <v>614</v>
      </c>
      <c r="Q5" s="17" t="s">
        <v>574</v>
      </c>
    </row>
    <row r="6" spans="2:17" ht="20.100000000000001" customHeight="1" x14ac:dyDescent="0.25">
      <c r="B6" s="13">
        <v>42994.360242603791</v>
      </c>
      <c r="C6" s="13">
        <v>42957</v>
      </c>
      <c r="D6" s="13">
        <v>42972.730282070355</v>
      </c>
      <c r="E6" s="14" t="s">
        <v>0</v>
      </c>
      <c r="F6" s="14" t="s">
        <v>3</v>
      </c>
      <c r="G6" s="14" t="s">
        <v>83</v>
      </c>
      <c r="H6" s="15">
        <v>1133</v>
      </c>
      <c r="I6" s="14">
        <f>IF(TbRegistroEntradas[[#This Row],[Data do Caixa Realizado]]="",0,MONTH(TbRegistroEntradas[[#This Row],[Data do Caixa Realizado]]))</f>
        <v>9</v>
      </c>
      <c r="J6" s="14">
        <f>IF(TbRegistroEntradas[[#This Row],[Data do Caixa Realizado]]="",0,YEAR(TbRegistroEntradas[[#This Row],[Data do Caixa Realizado]]))</f>
        <v>2017</v>
      </c>
      <c r="K6" s="14">
        <f>IF(TbRegistroEntradas[[#This Row],[Data da Competência]]="",0,MONTH(TbRegistroEntradas[[#This Row],[Data da Competência]]))</f>
        <v>8</v>
      </c>
      <c r="L6" s="14">
        <f>IF(TbRegistroEntradas[[#This Row],[Data da Competência]]="",0,YEAR(TbRegistroEntradas[[#This Row],[Data da Competência]]))</f>
        <v>2017</v>
      </c>
      <c r="M6" s="14">
        <f>IF(TbRegistroEntradas[[#This Row],[Data do Caixa Previsto]]="",0,MONTH(TbRegistroEntradas[[#This Row],[Data do Caixa Previsto]]))</f>
        <v>8</v>
      </c>
      <c r="N6" s="14">
        <f>IF(TbRegistroEntradas[[#This Row],[Data do Caixa Previsto]]="",0,YEAR(TbRegistroEntradas[[#This Row],[Data do Caixa Previsto]]))</f>
        <v>2017</v>
      </c>
      <c r="O6" s="14" t="str">
        <f>IF(TbRegistroEntradas[[#This Row],[Data da Competência]]=TbRegistroEntradas[[#This Row],[Data do Caixa Previsto]],"Vista","Prazo")</f>
        <v>Prazo</v>
      </c>
      <c r="P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21.629960533435224</v>
      </c>
      <c r="Q6" s="14"/>
    </row>
    <row r="7" spans="2:17" ht="20.100000000000001" customHeight="1" x14ac:dyDescent="0.25">
      <c r="B7" s="13">
        <v>42985.921072815276</v>
      </c>
      <c r="C7" s="13">
        <v>42960</v>
      </c>
      <c r="D7" s="13">
        <v>42985.08192799228</v>
      </c>
      <c r="E7" s="14" t="s">
        <v>0</v>
      </c>
      <c r="F7" s="14" t="s">
        <v>24</v>
      </c>
      <c r="G7" s="14" t="s">
        <v>84</v>
      </c>
      <c r="H7" s="15">
        <v>164</v>
      </c>
      <c r="I7" s="14">
        <f>IF(TbRegistroEntradas[[#This Row],[Data do Caixa Realizado]]="",0,MONTH(TbRegistroEntradas[[#This Row],[Data do Caixa Realizado]]))</f>
        <v>9</v>
      </c>
      <c r="J7" s="14">
        <f>IF(TbRegistroEntradas[[#This Row],[Data do Caixa Realizado]]="",0,YEAR(TbRegistroEntradas[[#This Row],[Data do Caixa Realizado]]))</f>
        <v>2017</v>
      </c>
      <c r="K7" s="14">
        <f>IF(TbRegistroEntradas[[#This Row],[Data da Competência]]="",0,MONTH(TbRegistroEntradas[[#This Row],[Data da Competência]]))</f>
        <v>8</v>
      </c>
      <c r="L7" s="14">
        <f>IF(TbRegistroEntradas[[#This Row],[Data da Competência]]="",0,YEAR(TbRegistroEntradas[[#This Row],[Data da Competência]]))</f>
        <v>2017</v>
      </c>
      <c r="M7" s="14">
        <f>IF(TbRegistroEntradas[[#This Row],[Data do Caixa Previsto]]="",0,MONTH(TbRegistroEntradas[[#This Row],[Data do Caixa Previsto]]))</f>
        <v>9</v>
      </c>
      <c r="N7" s="14">
        <f>IF(TbRegistroEntradas[[#This Row],[Data do Caixa Previsto]]="",0,YEAR(TbRegistroEntradas[[#This Row],[Data do Caixa Previsto]]))</f>
        <v>2017</v>
      </c>
      <c r="O7" s="14" t="str">
        <f>IF(TbRegistroEntradas[[#This Row],[Data da Competência]]=TbRegistroEntradas[[#This Row],[Data do Caixa Previsto]],"Vista","Prazo")</f>
        <v>Prazo</v>
      </c>
      <c r="P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0.83914482299587689</v>
      </c>
      <c r="Q7" s="14"/>
    </row>
    <row r="8" spans="2:17" ht="20.100000000000001" customHeight="1" x14ac:dyDescent="0.25">
      <c r="B8" s="13">
        <v>43007.497531597422</v>
      </c>
      <c r="C8" s="13">
        <v>42964</v>
      </c>
      <c r="D8" s="13">
        <v>43001.085754998392</v>
      </c>
      <c r="E8" s="14" t="s">
        <v>0</v>
      </c>
      <c r="F8" s="14" t="s">
        <v>24</v>
      </c>
      <c r="G8" s="14" t="s">
        <v>85</v>
      </c>
      <c r="H8" s="15">
        <v>2937</v>
      </c>
      <c r="I8" s="14">
        <f>IF(TbRegistroEntradas[[#This Row],[Data do Caixa Realizado]]="",0,MONTH(TbRegistroEntradas[[#This Row],[Data do Caixa Realizado]]))</f>
        <v>9</v>
      </c>
      <c r="J8" s="14">
        <f>IF(TbRegistroEntradas[[#This Row],[Data do Caixa Realizado]]="",0,YEAR(TbRegistroEntradas[[#This Row],[Data do Caixa Realizado]]))</f>
        <v>2017</v>
      </c>
      <c r="K8" s="14">
        <f>IF(TbRegistroEntradas[[#This Row],[Data da Competência]]="",0,MONTH(TbRegistroEntradas[[#This Row],[Data da Competência]]))</f>
        <v>8</v>
      </c>
      <c r="L8" s="14">
        <f>IF(TbRegistroEntradas[[#This Row],[Data da Competência]]="",0,YEAR(TbRegistroEntradas[[#This Row],[Data da Competência]]))</f>
        <v>2017</v>
      </c>
      <c r="M8" s="14">
        <f>IF(TbRegistroEntradas[[#This Row],[Data do Caixa Previsto]]="",0,MONTH(TbRegistroEntradas[[#This Row],[Data do Caixa Previsto]]))</f>
        <v>9</v>
      </c>
      <c r="N8" s="14">
        <f>IF(TbRegistroEntradas[[#This Row],[Data do Caixa Previsto]]="",0,YEAR(TbRegistroEntradas[[#This Row],[Data do Caixa Previsto]]))</f>
        <v>2017</v>
      </c>
      <c r="O8" s="14" t="str">
        <f>IF(TbRegistroEntradas[[#This Row],[Data da Competência]]=TbRegistroEntradas[[#This Row],[Data do Caixa Previsto]],"Vista","Prazo")</f>
        <v>Prazo</v>
      </c>
      <c r="P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6.4117765990304179</v>
      </c>
      <c r="Q8" s="14" t="str">
        <f ca="1">IF(AND(TbRegistroEntradas[[#This Row],[Data do Caixa Previsto]]&lt;TODAY(),TbRegistroEntradas[[#This Row],[Data do Caixa Realizado]]=""),Vencida,"Não vencida")</f>
        <v>Não vencida</v>
      </c>
    </row>
    <row r="9" spans="2:17" ht="20.100000000000001" customHeight="1" x14ac:dyDescent="0.25">
      <c r="B9" s="13">
        <v>43020.93099062844</v>
      </c>
      <c r="C9" s="13">
        <v>42969</v>
      </c>
      <c r="D9" s="13">
        <v>43020.93099062844</v>
      </c>
      <c r="E9" s="14" t="s">
        <v>0</v>
      </c>
      <c r="F9" s="14" t="s">
        <v>49</v>
      </c>
      <c r="G9" s="14" t="s">
        <v>86</v>
      </c>
      <c r="H9" s="15">
        <v>807</v>
      </c>
      <c r="I9" s="14">
        <f>IF(TbRegistroEntradas[[#This Row],[Data do Caixa Realizado]]="",0,MONTH(TbRegistroEntradas[[#This Row],[Data do Caixa Realizado]]))</f>
        <v>10</v>
      </c>
      <c r="J9" s="14">
        <f>IF(TbRegistroEntradas[[#This Row],[Data do Caixa Realizado]]="",0,YEAR(TbRegistroEntradas[[#This Row],[Data do Caixa Realizado]]))</f>
        <v>2017</v>
      </c>
      <c r="K9" s="14">
        <f>IF(TbRegistroEntradas[[#This Row],[Data da Competência]]="",0,MONTH(TbRegistroEntradas[[#This Row],[Data da Competência]]))</f>
        <v>8</v>
      </c>
      <c r="L9" s="14">
        <f>IF(TbRegistroEntradas[[#This Row],[Data da Competência]]="",0,YEAR(TbRegistroEntradas[[#This Row],[Data da Competência]]))</f>
        <v>2017</v>
      </c>
      <c r="M9" s="14">
        <f>IF(TbRegistroEntradas[[#This Row],[Data do Caixa Previsto]]="",0,MONTH(TbRegistroEntradas[[#This Row],[Data do Caixa Previsto]]))</f>
        <v>10</v>
      </c>
      <c r="N9" s="14">
        <f>IF(TbRegistroEntradas[[#This Row],[Data do Caixa Previsto]]="",0,YEAR(TbRegistroEntradas[[#This Row],[Data do Caixa Previsto]]))</f>
        <v>2017</v>
      </c>
      <c r="O9" s="14" t="str">
        <f>IF(TbRegistroEntradas[[#This Row],[Data da Competência]]=TbRegistroEntradas[[#This Row],[Data do Caixa Previsto]],"Vista","Prazo")</f>
        <v>Prazo</v>
      </c>
      <c r="P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9" s="14" t="str">
        <f ca="1">IF(AND(TbRegistroEntradas[[#This Row],[Data do Caixa Previsto]]&lt;TODAY(),TbRegistroEntradas[[#This Row],[Data do Caixa Realizado]]=""),Vencida,"Não vencida")</f>
        <v>Não vencida</v>
      </c>
    </row>
    <row r="10" spans="2:17" ht="20.100000000000001" customHeight="1" x14ac:dyDescent="0.25">
      <c r="B10" s="13">
        <v>43014.490029992223</v>
      </c>
      <c r="C10" s="13">
        <v>42972</v>
      </c>
      <c r="D10" s="13">
        <v>43014.490029992223</v>
      </c>
      <c r="E10" s="14" t="s">
        <v>0</v>
      </c>
      <c r="F10" s="14" t="s">
        <v>3</v>
      </c>
      <c r="G10" s="14" t="s">
        <v>87</v>
      </c>
      <c r="H10" s="15">
        <v>2612</v>
      </c>
      <c r="I10" s="14">
        <f>IF(TbRegistroEntradas[[#This Row],[Data do Caixa Realizado]]="",0,MONTH(TbRegistroEntradas[[#This Row],[Data do Caixa Realizado]]))</f>
        <v>10</v>
      </c>
      <c r="J10" s="14">
        <f>IF(TbRegistroEntradas[[#This Row],[Data do Caixa Realizado]]="",0,YEAR(TbRegistroEntradas[[#This Row],[Data do Caixa Realizado]]))</f>
        <v>2017</v>
      </c>
      <c r="K10" s="14">
        <f>IF(TbRegistroEntradas[[#This Row],[Data da Competência]]="",0,MONTH(TbRegistroEntradas[[#This Row],[Data da Competência]]))</f>
        <v>8</v>
      </c>
      <c r="L10" s="14">
        <f>IF(TbRegistroEntradas[[#This Row],[Data da Competência]]="",0,YEAR(TbRegistroEntradas[[#This Row],[Data da Competência]]))</f>
        <v>2017</v>
      </c>
      <c r="M10" s="14">
        <f>IF(TbRegistroEntradas[[#This Row],[Data do Caixa Previsto]]="",0,MONTH(TbRegistroEntradas[[#This Row],[Data do Caixa Previsto]]))</f>
        <v>10</v>
      </c>
      <c r="N10" s="14">
        <f>IF(TbRegistroEntradas[[#This Row],[Data do Caixa Previsto]]="",0,YEAR(TbRegistroEntradas[[#This Row],[Data do Caixa Previsto]]))</f>
        <v>2017</v>
      </c>
      <c r="O10" s="14" t="str">
        <f>IF(TbRegistroEntradas[[#This Row],[Data da Competência]]=TbRegistroEntradas[[#This Row],[Data do Caixa Previsto]],"Vista","Prazo")</f>
        <v>Prazo</v>
      </c>
      <c r="P1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" s="14" t="str">
        <f ca="1">IF(AND(TbRegistroEntradas[[#This Row],[Data do Caixa Previsto]]&lt;TODAY(),TbRegistroEntradas[[#This Row],[Data do Caixa Realizado]]=""),Vencida,"Não vencida")</f>
        <v>Não vencida</v>
      </c>
    </row>
    <row r="11" spans="2:17" ht="20.100000000000001" customHeight="1" x14ac:dyDescent="0.25">
      <c r="B11" s="13">
        <v>43054.754604096757</v>
      </c>
      <c r="C11" s="13">
        <v>42974</v>
      </c>
      <c r="D11" s="13">
        <v>43030.597366701804</v>
      </c>
      <c r="E11" s="14" t="s">
        <v>0</v>
      </c>
      <c r="F11" s="14" t="s">
        <v>24</v>
      </c>
      <c r="G11" s="14" t="s">
        <v>88</v>
      </c>
      <c r="H11" s="15">
        <v>2483</v>
      </c>
      <c r="I11" s="14">
        <f>IF(TbRegistroEntradas[[#This Row],[Data do Caixa Realizado]]="",0,MONTH(TbRegistroEntradas[[#This Row],[Data do Caixa Realizado]]))</f>
        <v>11</v>
      </c>
      <c r="J11" s="14">
        <f>IF(TbRegistroEntradas[[#This Row],[Data do Caixa Realizado]]="",0,YEAR(TbRegistroEntradas[[#This Row],[Data do Caixa Realizado]]))</f>
        <v>2017</v>
      </c>
      <c r="K11" s="14">
        <f>IF(TbRegistroEntradas[[#This Row],[Data da Competência]]="",0,MONTH(TbRegistroEntradas[[#This Row],[Data da Competência]]))</f>
        <v>8</v>
      </c>
      <c r="L11" s="14">
        <f>IF(TbRegistroEntradas[[#This Row],[Data da Competência]]="",0,YEAR(TbRegistroEntradas[[#This Row],[Data da Competência]]))</f>
        <v>2017</v>
      </c>
      <c r="M11" s="14">
        <f>IF(TbRegistroEntradas[[#This Row],[Data do Caixa Previsto]]="",0,MONTH(TbRegistroEntradas[[#This Row],[Data do Caixa Previsto]]))</f>
        <v>10</v>
      </c>
      <c r="N11" s="14">
        <f>IF(TbRegistroEntradas[[#This Row],[Data do Caixa Previsto]]="",0,YEAR(TbRegistroEntradas[[#This Row],[Data do Caixa Previsto]]))</f>
        <v>2017</v>
      </c>
      <c r="O11" s="14" t="str">
        <f>IF(TbRegistroEntradas[[#This Row],[Data da Competência]]=TbRegistroEntradas[[#This Row],[Data do Caixa Previsto]],"Vista","Prazo")</f>
        <v>Prazo</v>
      </c>
      <c r="P1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24.157237394952972</v>
      </c>
      <c r="Q11" s="14" t="str">
        <f ca="1">IF(AND(TbRegistroEntradas[[#This Row],[Data do Caixa Previsto]]&lt;TODAY(),TbRegistroEntradas[[#This Row],[Data do Caixa Realizado]]=""),Vencida,"Não vencida")</f>
        <v>Não vencida</v>
      </c>
    </row>
    <row r="12" spans="2:17" ht="20.100000000000001" customHeight="1" x14ac:dyDescent="0.25">
      <c r="B12" s="13">
        <v>43087.201387518355</v>
      </c>
      <c r="C12" s="13">
        <v>42979</v>
      </c>
      <c r="D12" s="13">
        <v>43009.803181410032</v>
      </c>
      <c r="E12" s="14" t="s">
        <v>0</v>
      </c>
      <c r="F12" s="14" t="s">
        <v>3</v>
      </c>
      <c r="G12" s="14" t="s">
        <v>89</v>
      </c>
      <c r="H12" s="15">
        <v>4387</v>
      </c>
      <c r="I12" s="14">
        <f>IF(TbRegistroEntradas[[#This Row],[Data do Caixa Realizado]]="",0,MONTH(TbRegistroEntradas[[#This Row],[Data do Caixa Realizado]]))</f>
        <v>12</v>
      </c>
      <c r="J12" s="14">
        <f>IF(TbRegistroEntradas[[#This Row],[Data do Caixa Realizado]]="",0,YEAR(TbRegistroEntradas[[#This Row],[Data do Caixa Realizado]]))</f>
        <v>2017</v>
      </c>
      <c r="K12" s="14">
        <f>IF(TbRegistroEntradas[[#This Row],[Data da Competência]]="",0,MONTH(TbRegistroEntradas[[#This Row],[Data da Competência]]))</f>
        <v>9</v>
      </c>
      <c r="L12" s="14">
        <f>IF(TbRegistroEntradas[[#This Row],[Data da Competência]]="",0,YEAR(TbRegistroEntradas[[#This Row],[Data da Competência]]))</f>
        <v>2017</v>
      </c>
      <c r="M12" s="14">
        <f>IF(TbRegistroEntradas[[#This Row],[Data do Caixa Previsto]]="",0,MONTH(TbRegistroEntradas[[#This Row],[Data do Caixa Previsto]]))</f>
        <v>10</v>
      </c>
      <c r="N12" s="14">
        <f>IF(TbRegistroEntradas[[#This Row],[Data do Caixa Previsto]]="",0,YEAR(TbRegistroEntradas[[#This Row],[Data do Caixa Previsto]]))</f>
        <v>2017</v>
      </c>
      <c r="O12" s="14" t="str">
        <f>IF(TbRegistroEntradas[[#This Row],[Data da Competência]]=TbRegistroEntradas[[#This Row],[Data do Caixa Previsto]],"Vista","Prazo")</f>
        <v>Prazo</v>
      </c>
      <c r="P1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77.398206108322483</v>
      </c>
      <c r="Q12" s="14" t="str">
        <f ca="1">IF(AND(TbRegistroEntradas[[#This Row],[Data do Caixa Previsto]]&lt;TODAY(),TbRegistroEntradas[[#This Row],[Data do Caixa Realizado]]=""),"Vencida","Não vencida")</f>
        <v>Não vencida</v>
      </c>
    </row>
    <row r="13" spans="2:17" ht="20.100000000000001" customHeight="1" x14ac:dyDescent="0.25">
      <c r="B13" s="13">
        <v>43004.688402044558</v>
      </c>
      <c r="C13" s="13">
        <v>42980</v>
      </c>
      <c r="D13" s="13">
        <v>43004.688402044558</v>
      </c>
      <c r="E13" s="14" t="s">
        <v>0</v>
      </c>
      <c r="F13" s="14" t="s">
        <v>24</v>
      </c>
      <c r="G13" s="14" t="s">
        <v>90</v>
      </c>
      <c r="H13" s="15">
        <v>4268</v>
      </c>
      <c r="I13" s="14">
        <f>IF(TbRegistroEntradas[[#This Row],[Data do Caixa Realizado]]="",0,MONTH(TbRegistroEntradas[[#This Row],[Data do Caixa Realizado]]))</f>
        <v>9</v>
      </c>
      <c r="J13" s="14">
        <f>IF(TbRegistroEntradas[[#This Row],[Data do Caixa Realizado]]="",0,YEAR(TbRegistroEntradas[[#This Row],[Data do Caixa Realizado]]))</f>
        <v>2017</v>
      </c>
      <c r="K13" s="14">
        <f>IF(TbRegistroEntradas[[#This Row],[Data da Competência]]="",0,MONTH(TbRegistroEntradas[[#This Row],[Data da Competência]]))</f>
        <v>9</v>
      </c>
      <c r="L13" s="14">
        <f>IF(TbRegistroEntradas[[#This Row],[Data da Competência]]="",0,YEAR(TbRegistroEntradas[[#This Row],[Data da Competência]]))</f>
        <v>2017</v>
      </c>
      <c r="M13" s="14">
        <f>IF(TbRegistroEntradas[[#This Row],[Data do Caixa Previsto]]="",0,MONTH(TbRegistroEntradas[[#This Row],[Data do Caixa Previsto]]))</f>
        <v>9</v>
      </c>
      <c r="N13" s="14">
        <f>IF(TbRegistroEntradas[[#This Row],[Data do Caixa Previsto]]="",0,YEAR(TbRegistroEntradas[[#This Row],[Data do Caixa Previsto]]))</f>
        <v>2017</v>
      </c>
      <c r="O13" s="14" t="str">
        <f>IF(TbRegistroEntradas[[#This Row],[Data da Competência]]=TbRegistroEntradas[[#This Row],[Data do Caixa Previsto]],"Vista","Prazo")</f>
        <v>Prazo</v>
      </c>
      <c r="P1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" s="14" t="str">
        <f ca="1">IF(AND(TbRegistroEntradas[[#This Row],[Data do Caixa Previsto]]&lt;TODAY(),TbRegistroEntradas[[#This Row],[Data do Caixa Realizado]]=""),"Vencida","Não vencida")</f>
        <v>Não vencida</v>
      </c>
    </row>
    <row r="14" spans="2:17" ht="20.100000000000001" customHeight="1" x14ac:dyDescent="0.25">
      <c r="B14" s="13">
        <v>43015.979718768547</v>
      </c>
      <c r="C14" s="13">
        <v>42984</v>
      </c>
      <c r="D14" s="13">
        <v>43015.979718768547</v>
      </c>
      <c r="E14" s="14" t="s">
        <v>0</v>
      </c>
      <c r="F14" s="14" t="s">
        <v>24</v>
      </c>
      <c r="G14" s="14" t="s">
        <v>91</v>
      </c>
      <c r="H14" s="15">
        <v>3761</v>
      </c>
      <c r="I14" s="14">
        <f>IF(TbRegistroEntradas[[#This Row],[Data do Caixa Realizado]]="",0,MONTH(TbRegistroEntradas[[#This Row],[Data do Caixa Realizado]]))</f>
        <v>10</v>
      </c>
      <c r="J14" s="14">
        <f>IF(TbRegistroEntradas[[#This Row],[Data do Caixa Realizado]]="",0,YEAR(TbRegistroEntradas[[#This Row],[Data do Caixa Realizado]]))</f>
        <v>2017</v>
      </c>
      <c r="K14" s="14">
        <f>IF(TbRegistroEntradas[[#This Row],[Data da Competência]]="",0,MONTH(TbRegistroEntradas[[#This Row],[Data da Competência]]))</f>
        <v>9</v>
      </c>
      <c r="L14" s="14">
        <f>IF(TbRegistroEntradas[[#This Row],[Data da Competência]]="",0,YEAR(TbRegistroEntradas[[#This Row],[Data da Competência]]))</f>
        <v>2017</v>
      </c>
      <c r="M14" s="14">
        <f>IF(TbRegistroEntradas[[#This Row],[Data do Caixa Previsto]]="",0,MONTH(TbRegistroEntradas[[#This Row],[Data do Caixa Previsto]]))</f>
        <v>10</v>
      </c>
      <c r="N14" s="14">
        <f>IF(TbRegistroEntradas[[#This Row],[Data do Caixa Previsto]]="",0,YEAR(TbRegistroEntradas[[#This Row],[Data do Caixa Previsto]]))</f>
        <v>2017</v>
      </c>
      <c r="O14" s="14" t="str">
        <f>IF(TbRegistroEntradas[[#This Row],[Data da Competência]]=TbRegistroEntradas[[#This Row],[Data do Caixa Previsto]],"Vista","Prazo")</f>
        <v>Prazo</v>
      </c>
      <c r="P1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4" s="14" t="str">
        <f ca="1">IF(AND(TbRegistroEntradas[[#This Row],[Data do Caixa Previsto]]&lt;TODAY(),TbRegistroEntradas[[#This Row],[Data do Caixa Realizado]]=""),"Vencida","Não vencida")</f>
        <v>Não vencida</v>
      </c>
    </row>
    <row r="15" spans="2:17" ht="20.100000000000001" customHeight="1" x14ac:dyDescent="0.25">
      <c r="B15" s="13" t="s">
        <v>92</v>
      </c>
      <c r="C15" s="13">
        <v>42988</v>
      </c>
      <c r="D15" s="13">
        <v>43013.954304648258</v>
      </c>
      <c r="E15" s="14" t="s">
        <v>0</v>
      </c>
      <c r="F15" s="14" t="s">
        <v>24</v>
      </c>
      <c r="G15" s="14" t="s">
        <v>93</v>
      </c>
      <c r="H15" s="15">
        <v>4983</v>
      </c>
      <c r="I15" s="14">
        <f>IF(TbRegistroEntradas[[#This Row],[Data do Caixa Realizado]]="",0,MONTH(TbRegistroEntradas[[#This Row],[Data do Caixa Realizado]]))</f>
        <v>0</v>
      </c>
      <c r="J15" s="14">
        <f>IF(TbRegistroEntradas[[#This Row],[Data do Caixa Realizado]]="",0,YEAR(TbRegistroEntradas[[#This Row],[Data do Caixa Realizado]]))</f>
        <v>0</v>
      </c>
      <c r="K15" s="14">
        <f>IF(TbRegistroEntradas[[#This Row],[Data da Competência]]="",0,MONTH(TbRegistroEntradas[[#This Row],[Data da Competência]]))</f>
        <v>9</v>
      </c>
      <c r="L15" s="14">
        <f>IF(TbRegistroEntradas[[#This Row],[Data da Competência]]="",0,YEAR(TbRegistroEntradas[[#This Row],[Data da Competência]]))</f>
        <v>2017</v>
      </c>
      <c r="M15" s="14">
        <f>IF(TbRegistroEntradas[[#This Row],[Data do Caixa Previsto]]="",0,MONTH(TbRegistroEntradas[[#This Row],[Data do Caixa Previsto]]))</f>
        <v>10</v>
      </c>
      <c r="N15" s="14">
        <f>IF(TbRegistroEntradas[[#This Row],[Data do Caixa Previsto]]="",0,YEAR(TbRegistroEntradas[[#This Row],[Data do Caixa Previsto]]))</f>
        <v>2017</v>
      </c>
      <c r="O15" s="14" t="str">
        <f>IF(TbRegistroEntradas[[#This Row],[Data da Competência]]=TbRegistroEntradas[[#This Row],[Data do Caixa Previsto]],"Vista","Prazo")</f>
        <v>Prazo</v>
      </c>
      <c r="P1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2380.0456953517423</v>
      </c>
      <c r="Q15" s="14" t="str">
        <f ca="1">IF(AND(TbRegistroEntradas[[#This Row],[Data do Caixa Previsto]]&lt;TODAY(),TbRegistroEntradas[[#This Row],[Data do Caixa Realizado]]=""),"Vencida","Não vencida")</f>
        <v>Vencida</v>
      </c>
    </row>
    <row r="16" spans="2:17" ht="20.100000000000001" customHeight="1" x14ac:dyDescent="0.25">
      <c r="B16" s="13">
        <v>42997.551902670813</v>
      </c>
      <c r="C16" s="13">
        <v>42997</v>
      </c>
      <c r="D16" s="13">
        <v>42997.551902670813</v>
      </c>
      <c r="E16" s="14" t="s">
        <v>0</v>
      </c>
      <c r="F16" s="14" t="s">
        <v>17</v>
      </c>
      <c r="G16" s="14" t="s">
        <v>94</v>
      </c>
      <c r="H16" s="15">
        <v>2502</v>
      </c>
      <c r="I16" s="14">
        <f>IF(TbRegistroEntradas[[#This Row],[Data do Caixa Realizado]]="",0,MONTH(TbRegistroEntradas[[#This Row],[Data do Caixa Realizado]]))</f>
        <v>9</v>
      </c>
      <c r="J16" s="14">
        <f>IF(TbRegistroEntradas[[#This Row],[Data do Caixa Realizado]]="",0,YEAR(TbRegistroEntradas[[#This Row],[Data do Caixa Realizado]]))</f>
        <v>2017</v>
      </c>
      <c r="K16" s="14">
        <f>IF(TbRegistroEntradas[[#This Row],[Data da Competência]]="",0,MONTH(TbRegistroEntradas[[#This Row],[Data da Competência]]))</f>
        <v>9</v>
      </c>
      <c r="L16" s="14">
        <f>IF(TbRegistroEntradas[[#This Row],[Data da Competência]]="",0,YEAR(TbRegistroEntradas[[#This Row],[Data da Competência]]))</f>
        <v>2017</v>
      </c>
      <c r="M16" s="14">
        <f>IF(TbRegistroEntradas[[#This Row],[Data do Caixa Previsto]]="",0,MONTH(TbRegistroEntradas[[#This Row],[Data do Caixa Previsto]]))</f>
        <v>9</v>
      </c>
      <c r="N16" s="14">
        <f>IF(TbRegistroEntradas[[#This Row],[Data do Caixa Previsto]]="",0,YEAR(TbRegistroEntradas[[#This Row],[Data do Caixa Previsto]]))</f>
        <v>2017</v>
      </c>
      <c r="O16" s="14" t="str">
        <f>IF(TbRegistroEntradas[[#This Row],[Data da Competência]]=TbRegistroEntradas[[#This Row],[Data do Caixa Previsto]],"Vista","Prazo")</f>
        <v>Prazo</v>
      </c>
      <c r="P1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6" s="14" t="str">
        <f ca="1">IF(AND(TbRegistroEntradas[[#This Row],[Data do Caixa Previsto]]&lt;TODAY(),TbRegistroEntradas[[#This Row],[Data do Caixa Realizado]]=""),"Vencida","Não vencida")</f>
        <v>Não vencida</v>
      </c>
    </row>
    <row r="17" spans="2:17" x14ac:dyDescent="0.25">
      <c r="B17" s="13">
        <v>43004.663371860901</v>
      </c>
      <c r="C17" s="13">
        <v>42994</v>
      </c>
      <c r="D17" s="13">
        <v>43002.856606349254</v>
      </c>
      <c r="E17" s="14" t="s">
        <v>0</v>
      </c>
      <c r="F17" s="14" t="s">
        <v>24</v>
      </c>
      <c r="G17" s="14" t="s">
        <v>95</v>
      </c>
      <c r="H17" s="15">
        <v>2337</v>
      </c>
      <c r="I17" s="14">
        <f>IF(TbRegistroEntradas[[#This Row],[Data do Caixa Realizado]]="",0,MONTH(TbRegistroEntradas[[#This Row],[Data do Caixa Realizado]]))</f>
        <v>9</v>
      </c>
      <c r="J17" s="14">
        <f>IF(TbRegistroEntradas[[#This Row],[Data do Caixa Realizado]]="",0,YEAR(TbRegistroEntradas[[#This Row],[Data do Caixa Realizado]]))</f>
        <v>2017</v>
      </c>
      <c r="K17" s="14">
        <f>IF(TbRegistroEntradas[[#This Row],[Data da Competência]]="",0,MONTH(TbRegistroEntradas[[#This Row],[Data da Competência]]))</f>
        <v>9</v>
      </c>
      <c r="L17" s="14">
        <f>IF(TbRegistroEntradas[[#This Row],[Data da Competência]]="",0,YEAR(TbRegistroEntradas[[#This Row],[Data da Competência]]))</f>
        <v>2017</v>
      </c>
      <c r="M17" s="14">
        <f>IF(TbRegistroEntradas[[#This Row],[Data do Caixa Previsto]]="",0,MONTH(TbRegistroEntradas[[#This Row],[Data do Caixa Previsto]]))</f>
        <v>9</v>
      </c>
      <c r="N17" s="14">
        <f>IF(TbRegistroEntradas[[#This Row],[Data do Caixa Previsto]]="",0,YEAR(TbRegistroEntradas[[#This Row],[Data do Caixa Previsto]]))</f>
        <v>2017</v>
      </c>
      <c r="O17" s="14" t="str">
        <f>IF(TbRegistroEntradas[[#This Row],[Data da Competência]]=TbRegistroEntradas[[#This Row],[Data do Caixa Previsto]],"Vista","Prazo")</f>
        <v>Prazo</v>
      </c>
      <c r="P1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1.8067655116465176</v>
      </c>
      <c r="Q17" s="14" t="str">
        <f ca="1">IF(AND(TbRegistroEntradas[[#This Row],[Data do Caixa Previsto]]&lt;TODAY(),TbRegistroEntradas[[#This Row],[Data do Caixa Realizado]]=""),"Vencida","Não vencida")</f>
        <v>Não vencida</v>
      </c>
    </row>
    <row r="18" spans="2:17" x14ac:dyDescent="0.25">
      <c r="B18" s="13">
        <v>43010.987674560682</v>
      </c>
      <c r="C18" s="13">
        <v>43001</v>
      </c>
      <c r="D18" s="13">
        <v>43001</v>
      </c>
      <c r="E18" s="14" t="s">
        <v>0</v>
      </c>
      <c r="F18" s="14" t="s">
        <v>5</v>
      </c>
      <c r="G18" s="14" t="s">
        <v>96</v>
      </c>
      <c r="H18" s="15">
        <v>3125</v>
      </c>
      <c r="I18" s="14">
        <f>IF(TbRegistroEntradas[[#This Row],[Data do Caixa Realizado]]="",0,MONTH(TbRegistroEntradas[[#This Row],[Data do Caixa Realizado]]))</f>
        <v>10</v>
      </c>
      <c r="J18" s="14">
        <f>IF(TbRegistroEntradas[[#This Row],[Data do Caixa Realizado]]="",0,YEAR(TbRegistroEntradas[[#This Row],[Data do Caixa Realizado]]))</f>
        <v>2017</v>
      </c>
      <c r="K18" s="14">
        <f>IF(TbRegistroEntradas[[#This Row],[Data da Competência]]="",0,MONTH(TbRegistroEntradas[[#This Row],[Data da Competência]]))</f>
        <v>9</v>
      </c>
      <c r="L18" s="14">
        <f>IF(TbRegistroEntradas[[#This Row],[Data da Competência]]="",0,YEAR(TbRegistroEntradas[[#This Row],[Data da Competência]]))</f>
        <v>2017</v>
      </c>
      <c r="M18" s="14">
        <f>IF(TbRegistroEntradas[[#This Row],[Data do Caixa Previsto]]="",0,MONTH(TbRegistroEntradas[[#This Row],[Data do Caixa Previsto]]))</f>
        <v>9</v>
      </c>
      <c r="N18" s="14">
        <f>IF(TbRegistroEntradas[[#This Row],[Data do Caixa Previsto]]="",0,YEAR(TbRegistroEntradas[[#This Row],[Data do Caixa Previsto]]))</f>
        <v>2017</v>
      </c>
      <c r="O18" s="14" t="str">
        <f>IF(TbRegistroEntradas[[#This Row],[Data da Competência]]=TbRegistroEntradas[[#This Row],[Data do Caixa Previsto]],"Vista","Prazo")</f>
        <v>Vista</v>
      </c>
      <c r="P1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9.9876745606816257</v>
      </c>
      <c r="Q18" s="14" t="str">
        <f ca="1">IF(AND(TbRegistroEntradas[[#This Row],[Data do Caixa Previsto]]&lt;TODAY(),TbRegistroEntradas[[#This Row],[Data do Caixa Realizado]]=""),"Vencida","Não vencida")</f>
        <v>Não vencida</v>
      </c>
    </row>
    <row r="19" spans="2:17" x14ac:dyDescent="0.25">
      <c r="B19" s="13">
        <v>43056.628172621648</v>
      </c>
      <c r="C19" s="13">
        <v>43004</v>
      </c>
      <c r="D19" s="13">
        <v>43056.628172621648</v>
      </c>
      <c r="E19" s="14" t="s">
        <v>0</v>
      </c>
      <c r="F19" s="14" t="s">
        <v>24</v>
      </c>
      <c r="G19" s="14" t="s">
        <v>97</v>
      </c>
      <c r="H19" s="15">
        <v>1201</v>
      </c>
      <c r="I19" s="14">
        <f>IF(TbRegistroEntradas[[#This Row],[Data do Caixa Realizado]]="",0,MONTH(TbRegistroEntradas[[#This Row],[Data do Caixa Realizado]]))</f>
        <v>11</v>
      </c>
      <c r="J19" s="14">
        <f>IF(TbRegistroEntradas[[#This Row],[Data do Caixa Realizado]]="",0,YEAR(TbRegistroEntradas[[#This Row],[Data do Caixa Realizado]]))</f>
        <v>2017</v>
      </c>
      <c r="K19" s="14">
        <f>IF(TbRegistroEntradas[[#This Row],[Data da Competência]]="",0,MONTH(TbRegistroEntradas[[#This Row],[Data da Competência]]))</f>
        <v>9</v>
      </c>
      <c r="L19" s="14">
        <f>IF(TbRegistroEntradas[[#This Row],[Data da Competência]]="",0,YEAR(TbRegistroEntradas[[#This Row],[Data da Competência]]))</f>
        <v>2017</v>
      </c>
      <c r="M19" s="14">
        <f>IF(TbRegistroEntradas[[#This Row],[Data do Caixa Previsto]]="",0,MONTH(TbRegistroEntradas[[#This Row],[Data do Caixa Previsto]]))</f>
        <v>11</v>
      </c>
      <c r="N19" s="14">
        <f>IF(TbRegistroEntradas[[#This Row],[Data do Caixa Previsto]]="",0,YEAR(TbRegistroEntradas[[#This Row],[Data do Caixa Previsto]]))</f>
        <v>2017</v>
      </c>
      <c r="O19" s="14" t="str">
        <f>IF(TbRegistroEntradas[[#This Row],[Data da Competência]]=TbRegistroEntradas[[#This Row],[Data do Caixa Previsto]],"Vista","Prazo")</f>
        <v>Prazo</v>
      </c>
      <c r="P1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9" s="14" t="str">
        <f ca="1">IF(AND(TbRegistroEntradas[[#This Row],[Data do Caixa Previsto]]&lt;TODAY(),TbRegistroEntradas[[#This Row],[Data do Caixa Realizado]]=""),"Vencida","Não vencida")</f>
        <v>Não vencida</v>
      </c>
    </row>
    <row r="20" spans="2:17" x14ac:dyDescent="0.25">
      <c r="B20" s="13">
        <v>43033.143288673884</v>
      </c>
      <c r="C20" s="13">
        <v>43005</v>
      </c>
      <c r="D20" s="13">
        <v>43018.800773350056</v>
      </c>
      <c r="E20" s="14" t="s">
        <v>0</v>
      </c>
      <c r="F20" s="14" t="s">
        <v>3</v>
      </c>
      <c r="G20" s="14" t="s">
        <v>98</v>
      </c>
      <c r="H20" s="15">
        <v>4380</v>
      </c>
      <c r="I20" s="14">
        <f>IF(TbRegistroEntradas[[#This Row],[Data do Caixa Realizado]]="",0,MONTH(TbRegistroEntradas[[#This Row],[Data do Caixa Realizado]]))</f>
        <v>10</v>
      </c>
      <c r="J20" s="14">
        <f>IF(TbRegistroEntradas[[#This Row],[Data do Caixa Realizado]]="",0,YEAR(TbRegistroEntradas[[#This Row],[Data do Caixa Realizado]]))</f>
        <v>2017</v>
      </c>
      <c r="K20" s="14">
        <f>IF(TbRegistroEntradas[[#This Row],[Data da Competência]]="",0,MONTH(TbRegistroEntradas[[#This Row],[Data da Competência]]))</f>
        <v>9</v>
      </c>
      <c r="L20" s="14">
        <f>IF(TbRegistroEntradas[[#This Row],[Data da Competência]]="",0,YEAR(TbRegistroEntradas[[#This Row],[Data da Competência]]))</f>
        <v>2017</v>
      </c>
      <c r="M20" s="14">
        <f>IF(TbRegistroEntradas[[#This Row],[Data do Caixa Previsto]]="",0,MONTH(TbRegistroEntradas[[#This Row],[Data do Caixa Previsto]]))</f>
        <v>10</v>
      </c>
      <c r="N20" s="14">
        <f>IF(TbRegistroEntradas[[#This Row],[Data do Caixa Previsto]]="",0,YEAR(TbRegistroEntradas[[#This Row],[Data do Caixa Previsto]]))</f>
        <v>2017</v>
      </c>
      <c r="O20" s="14" t="str">
        <f>IF(TbRegistroEntradas[[#This Row],[Data da Competência]]=TbRegistroEntradas[[#This Row],[Data do Caixa Previsto]],"Vista","Prazo")</f>
        <v>Prazo</v>
      </c>
      <c r="P2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14.342515323827683</v>
      </c>
      <c r="Q20" s="14" t="str">
        <f ca="1">IF(AND(TbRegistroEntradas[[#This Row],[Data do Caixa Previsto]]&lt;TODAY(),TbRegistroEntradas[[#This Row],[Data do Caixa Realizado]]=""),"Vencida","Não vencida")</f>
        <v>Não vencida</v>
      </c>
    </row>
    <row r="21" spans="2:17" x14ac:dyDescent="0.25">
      <c r="B21" s="13">
        <v>43019.580095755031</v>
      </c>
      <c r="C21" s="13">
        <v>43008</v>
      </c>
      <c r="D21" s="13">
        <v>43019.580095755031</v>
      </c>
      <c r="E21" s="14" t="s">
        <v>0</v>
      </c>
      <c r="F21" s="14" t="s">
        <v>5</v>
      </c>
      <c r="G21" s="14" t="s">
        <v>99</v>
      </c>
      <c r="H21" s="15">
        <v>919</v>
      </c>
      <c r="I21" s="14">
        <f>IF(TbRegistroEntradas[[#This Row],[Data do Caixa Realizado]]="",0,MONTH(TbRegistroEntradas[[#This Row],[Data do Caixa Realizado]]))</f>
        <v>10</v>
      </c>
      <c r="J21" s="14">
        <f>IF(TbRegistroEntradas[[#This Row],[Data do Caixa Realizado]]="",0,YEAR(TbRegistroEntradas[[#This Row],[Data do Caixa Realizado]]))</f>
        <v>2017</v>
      </c>
      <c r="K21" s="14">
        <f>IF(TbRegistroEntradas[[#This Row],[Data da Competência]]="",0,MONTH(TbRegistroEntradas[[#This Row],[Data da Competência]]))</f>
        <v>9</v>
      </c>
      <c r="L21" s="14">
        <f>IF(TbRegistroEntradas[[#This Row],[Data da Competência]]="",0,YEAR(TbRegistroEntradas[[#This Row],[Data da Competência]]))</f>
        <v>2017</v>
      </c>
      <c r="M21" s="14">
        <f>IF(TbRegistroEntradas[[#This Row],[Data do Caixa Previsto]]="",0,MONTH(TbRegistroEntradas[[#This Row],[Data do Caixa Previsto]]))</f>
        <v>10</v>
      </c>
      <c r="N21" s="14">
        <f>IF(TbRegistroEntradas[[#This Row],[Data do Caixa Previsto]]="",0,YEAR(TbRegistroEntradas[[#This Row],[Data do Caixa Previsto]]))</f>
        <v>2017</v>
      </c>
      <c r="O21" s="14" t="str">
        <f>IF(TbRegistroEntradas[[#This Row],[Data da Competência]]=TbRegistroEntradas[[#This Row],[Data do Caixa Previsto]],"Vista","Prazo")</f>
        <v>Prazo</v>
      </c>
      <c r="P2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" s="14" t="str">
        <f ca="1">IF(AND(TbRegistroEntradas[[#This Row],[Data do Caixa Previsto]]&lt;TODAY(),TbRegistroEntradas[[#This Row],[Data do Caixa Realizado]]=""),"Vencida","Não vencida")</f>
        <v>Não vencida</v>
      </c>
    </row>
    <row r="22" spans="2:17" x14ac:dyDescent="0.25">
      <c r="B22" s="13">
        <v>43025.995076094237</v>
      </c>
      <c r="C22" s="13">
        <v>43012</v>
      </c>
      <c r="D22" s="13">
        <v>43025.995076094237</v>
      </c>
      <c r="E22" s="14" t="s">
        <v>0</v>
      </c>
      <c r="F22" s="14" t="s">
        <v>49</v>
      </c>
      <c r="G22" s="14" t="s">
        <v>100</v>
      </c>
      <c r="H22" s="15">
        <v>4590</v>
      </c>
      <c r="I22" s="14">
        <f>IF(TbRegistroEntradas[[#This Row],[Data do Caixa Realizado]]="",0,MONTH(TbRegistroEntradas[[#This Row],[Data do Caixa Realizado]]))</f>
        <v>10</v>
      </c>
      <c r="J22" s="14">
        <f>IF(TbRegistroEntradas[[#This Row],[Data do Caixa Realizado]]="",0,YEAR(TbRegistroEntradas[[#This Row],[Data do Caixa Realizado]]))</f>
        <v>2017</v>
      </c>
      <c r="K22" s="14">
        <f>IF(TbRegistroEntradas[[#This Row],[Data da Competência]]="",0,MONTH(TbRegistroEntradas[[#This Row],[Data da Competência]]))</f>
        <v>10</v>
      </c>
      <c r="L22" s="14">
        <f>IF(TbRegistroEntradas[[#This Row],[Data da Competência]]="",0,YEAR(TbRegistroEntradas[[#This Row],[Data da Competência]]))</f>
        <v>2017</v>
      </c>
      <c r="M22" s="14">
        <f>IF(TbRegistroEntradas[[#This Row],[Data do Caixa Previsto]]="",0,MONTH(TbRegistroEntradas[[#This Row],[Data do Caixa Previsto]]))</f>
        <v>10</v>
      </c>
      <c r="N22" s="14">
        <f>IF(TbRegistroEntradas[[#This Row],[Data do Caixa Previsto]]="",0,YEAR(TbRegistroEntradas[[#This Row],[Data do Caixa Previsto]]))</f>
        <v>2017</v>
      </c>
      <c r="O22" s="14" t="str">
        <f>IF(TbRegistroEntradas[[#This Row],[Data da Competência]]=TbRegistroEntradas[[#This Row],[Data do Caixa Previsto]],"Vista","Prazo")</f>
        <v>Prazo</v>
      </c>
      <c r="P2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" s="14" t="str">
        <f ca="1">IF(AND(TbRegistroEntradas[[#This Row],[Data do Caixa Previsto]]&lt;TODAY(),TbRegistroEntradas[[#This Row],[Data do Caixa Realizado]]=""),"Vencida","Não vencida")</f>
        <v>Não vencida</v>
      </c>
    </row>
    <row r="23" spans="2:17" x14ac:dyDescent="0.25">
      <c r="B23" s="13">
        <v>43052.454388600381</v>
      </c>
      <c r="C23" s="13">
        <v>43015</v>
      </c>
      <c r="D23" s="13">
        <v>43052.454388600381</v>
      </c>
      <c r="E23" s="14" t="s">
        <v>0</v>
      </c>
      <c r="F23" s="14" t="s">
        <v>17</v>
      </c>
      <c r="G23" s="14" t="s">
        <v>101</v>
      </c>
      <c r="H23" s="15">
        <v>1958</v>
      </c>
      <c r="I23" s="14">
        <f>IF(TbRegistroEntradas[[#This Row],[Data do Caixa Realizado]]="",0,MONTH(TbRegistroEntradas[[#This Row],[Data do Caixa Realizado]]))</f>
        <v>11</v>
      </c>
      <c r="J23" s="14">
        <f>IF(TbRegistroEntradas[[#This Row],[Data do Caixa Realizado]]="",0,YEAR(TbRegistroEntradas[[#This Row],[Data do Caixa Realizado]]))</f>
        <v>2017</v>
      </c>
      <c r="K23" s="14">
        <f>IF(TbRegistroEntradas[[#This Row],[Data da Competência]]="",0,MONTH(TbRegistroEntradas[[#This Row],[Data da Competência]]))</f>
        <v>10</v>
      </c>
      <c r="L23" s="14">
        <f>IF(TbRegistroEntradas[[#This Row],[Data da Competência]]="",0,YEAR(TbRegistroEntradas[[#This Row],[Data da Competência]]))</f>
        <v>2017</v>
      </c>
      <c r="M23" s="14">
        <f>IF(TbRegistroEntradas[[#This Row],[Data do Caixa Previsto]]="",0,MONTH(TbRegistroEntradas[[#This Row],[Data do Caixa Previsto]]))</f>
        <v>11</v>
      </c>
      <c r="N23" s="14">
        <f>IF(TbRegistroEntradas[[#This Row],[Data do Caixa Previsto]]="",0,YEAR(TbRegistroEntradas[[#This Row],[Data do Caixa Previsto]]))</f>
        <v>2017</v>
      </c>
      <c r="O23" s="14" t="str">
        <f>IF(TbRegistroEntradas[[#This Row],[Data da Competência]]=TbRegistroEntradas[[#This Row],[Data do Caixa Previsto]],"Vista","Prazo")</f>
        <v>Prazo</v>
      </c>
      <c r="P2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3" s="14" t="str">
        <f ca="1">IF(AND(TbRegistroEntradas[[#This Row],[Data do Caixa Previsto]]&lt;TODAY(),TbRegistroEntradas[[#This Row],[Data do Caixa Realizado]]=""),"Vencida","Não vencida")</f>
        <v>Não vencida</v>
      </c>
    </row>
    <row r="24" spans="2:17" x14ac:dyDescent="0.25">
      <c r="B24" s="13" t="s">
        <v>92</v>
      </c>
      <c r="C24" s="13">
        <v>43017</v>
      </c>
      <c r="D24" s="13">
        <v>43043.298497771881</v>
      </c>
      <c r="E24" s="14" t="s">
        <v>0</v>
      </c>
      <c r="F24" s="14" t="s">
        <v>3</v>
      </c>
      <c r="G24" s="14" t="s">
        <v>102</v>
      </c>
      <c r="H24" s="15">
        <v>1171</v>
      </c>
      <c r="I24" s="14">
        <f>IF(TbRegistroEntradas[[#This Row],[Data do Caixa Realizado]]="",0,MONTH(TbRegistroEntradas[[#This Row],[Data do Caixa Realizado]]))</f>
        <v>0</v>
      </c>
      <c r="J24" s="14">
        <f>IF(TbRegistroEntradas[[#This Row],[Data do Caixa Realizado]]="",0,YEAR(TbRegistroEntradas[[#This Row],[Data do Caixa Realizado]]))</f>
        <v>0</v>
      </c>
      <c r="K24" s="14">
        <f>IF(TbRegistroEntradas[[#This Row],[Data da Competência]]="",0,MONTH(TbRegistroEntradas[[#This Row],[Data da Competência]]))</f>
        <v>10</v>
      </c>
      <c r="L24" s="14">
        <f>IF(TbRegistroEntradas[[#This Row],[Data da Competência]]="",0,YEAR(TbRegistroEntradas[[#This Row],[Data da Competência]]))</f>
        <v>2017</v>
      </c>
      <c r="M24" s="14">
        <f>IF(TbRegistroEntradas[[#This Row],[Data do Caixa Previsto]]="",0,MONTH(TbRegistroEntradas[[#This Row],[Data do Caixa Previsto]]))</f>
        <v>11</v>
      </c>
      <c r="N24" s="14">
        <f>IF(TbRegistroEntradas[[#This Row],[Data do Caixa Previsto]]="",0,YEAR(TbRegistroEntradas[[#This Row],[Data do Caixa Previsto]]))</f>
        <v>2017</v>
      </c>
      <c r="O24" s="14" t="str">
        <f>IF(TbRegistroEntradas[[#This Row],[Data da Competência]]=TbRegistroEntradas[[#This Row],[Data do Caixa Previsto]],"Vista","Prazo")</f>
        <v>Prazo</v>
      </c>
      <c r="P2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2350.7015022281194</v>
      </c>
      <c r="Q24" s="14" t="str">
        <f ca="1">IF(AND(TbRegistroEntradas[[#This Row],[Data do Caixa Previsto]]&lt;TODAY(),TbRegistroEntradas[[#This Row],[Data do Caixa Realizado]]=""),"Vencida","Não vencida")</f>
        <v>Vencida</v>
      </c>
    </row>
    <row r="25" spans="2:17" x14ac:dyDescent="0.25">
      <c r="B25" s="13">
        <v>43134.960630268302</v>
      </c>
      <c r="C25" s="13">
        <v>43019</v>
      </c>
      <c r="D25" s="13">
        <v>43060.909367737389</v>
      </c>
      <c r="E25" s="14" t="s">
        <v>0</v>
      </c>
      <c r="F25" s="14" t="s">
        <v>24</v>
      </c>
      <c r="G25" s="14" t="s">
        <v>103</v>
      </c>
      <c r="H25" s="15">
        <v>2587</v>
      </c>
      <c r="I25" s="14">
        <f>IF(TbRegistroEntradas[[#This Row],[Data do Caixa Realizado]]="",0,MONTH(TbRegistroEntradas[[#This Row],[Data do Caixa Realizado]]))</f>
        <v>2</v>
      </c>
      <c r="J25" s="14">
        <f>IF(TbRegistroEntradas[[#This Row],[Data do Caixa Realizado]]="",0,YEAR(TbRegistroEntradas[[#This Row],[Data do Caixa Realizado]]))</f>
        <v>2018</v>
      </c>
      <c r="K25" s="14">
        <f>IF(TbRegistroEntradas[[#This Row],[Data da Competência]]="",0,MONTH(TbRegistroEntradas[[#This Row],[Data da Competência]]))</f>
        <v>10</v>
      </c>
      <c r="L25" s="14">
        <f>IF(TbRegistroEntradas[[#This Row],[Data da Competência]]="",0,YEAR(TbRegistroEntradas[[#This Row],[Data da Competência]]))</f>
        <v>2017</v>
      </c>
      <c r="M25" s="14">
        <f>IF(TbRegistroEntradas[[#This Row],[Data do Caixa Previsto]]="",0,MONTH(TbRegistroEntradas[[#This Row],[Data do Caixa Previsto]]))</f>
        <v>11</v>
      </c>
      <c r="N25" s="14">
        <f>IF(TbRegistroEntradas[[#This Row],[Data do Caixa Previsto]]="",0,YEAR(TbRegistroEntradas[[#This Row],[Data do Caixa Previsto]]))</f>
        <v>2017</v>
      </c>
      <c r="O25" s="14" t="str">
        <f>IF(TbRegistroEntradas[[#This Row],[Data da Competência]]=TbRegistroEntradas[[#This Row],[Data do Caixa Previsto]],"Vista","Prazo")</f>
        <v>Prazo</v>
      </c>
      <c r="P2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74.051262530912936</v>
      </c>
      <c r="Q25" s="14" t="str">
        <f ca="1">IF(AND(TbRegistroEntradas[[#This Row],[Data do Caixa Previsto]]&lt;TODAY(),TbRegistroEntradas[[#This Row],[Data do Caixa Realizado]]=""),"Vencida","Não vencida")</f>
        <v>Não vencida</v>
      </c>
    </row>
    <row r="26" spans="2:17" x14ac:dyDescent="0.25">
      <c r="B26" s="13">
        <v>43045.105355406915</v>
      </c>
      <c r="C26" s="13">
        <v>43023</v>
      </c>
      <c r="D26" s="13">
        <v>43045.105355406915</v>
      </c>
      <c r="E26" s="14" t="s">
        <v>0</v>
      </c>
      <c r="F26" s="14" t="s">
        <v>24</v>
      </c>
      <c r="G26" s="14" t="s">
        <v>104</v>
      </c>
      <c r="H26" s="15">
        <v>3425</v>
      </c>
      <c r="I26" s="14">
        <f>IF(TbRegistroEntradas[[#This Row],[Data do Caixa Realizado]]="",0,MONTH(TbRegistroEntradas[[#This Row],[Data do Caixa Realizado]]))</f>
        <v>11</v>
      </c>
      <c r="J26" s="14">
        <f>IF(TbRegistroEntradas[[#This Row],[Data do Caixa Realizado]]="",0,YEAR(TbRegistroEntradas[[#This Row],[Data do Caixa Realizado]]))</f>
        <v>2017</v>
      </c>
      <c r="K26" s="14">
        <f>IF(TbRegistroEntradas[[#This Row],[Data da Competência]]="",0,MONTH(TbRegistroEntradas[[#This Row],[Data da Competência]]))</f>
        <v>10</v>
      </c>
      <c r="L26" s="14">
        <f>IF(TbRegistroEntradas[[#This Row],[Data da Competência]]="",0,YEAR(TbRegistroEntradas[[#This Row],[Data da Competência]]))</f>
        <v>2017</v>
      </c>
      <c r="M26" s="14">
        <f>IF(TbRegistroEntradas[[#This Row],[Data do Caixa Previsto]]="",0,MONTH(TbRegistroEntradas[[#This Row],[Data do Caixa Previsto]]))</f>
        <v>11</v>
      </c>
      <c r="N26" s="14">
        <f>IF(TbRegistroEntradas[[#This Row],[Data do Caixa Previsto]]="",0,YEAR(TbRegistroEntradas[[#This Row],[Data do Caixa Previsto]]))</f>
        <v>2017</v>
      </c>
      <c r="O26" s="14" t="str">
        <f>IF(TbRegistroEntradas[[#This Row],[Data da Competência]]=TbRegistroEntradas[[#This Row],[Data do Caixa Previsto]],"Vista","Prazo")</f>
        <v>Prazo</v>
      </c>
      <c r="P2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6" s="14" t="str">
        <f ca="1">IF(AND(TbRegistroEntradas[[#This Row],[Data do Caixa Previsto]]&lt;TODAY(),TbRegistroEntradas[[#This Row],[Data do Caixa Realizado]]=""),"Vencida","Não vencida")</f>
        <v>Não vencida</v>
      </c>
    </row>
    <row r="27" spans="2:17" x14ac:dyDescent="0.25">
      <c r="B27" s="13">
        <v>43057.775638731524</v>
      </c>
      <c r="C27" s="13">
        <v>43026</v>
      </c>
      <c r="D27" s="13">
        <v>43026</v>
      </c>
      <c r="E27" s="14" t="s">
        <v>0</v>
      </c>
      <c r="F27" s="14" t="s">
        <v>49</v>
      </c>
      <c r="G27" s="14" t="s">
        <v>105</v>
      </c>
      <c r="H27" s="15">
        <v>4454</v>
      </c>
      <c r="I27" s="14">
        <f>IF(TbRegistroEntradas[[#This Row],[Data do Caixa Realizado]]="",0,MONTH(TbRegistroEntradas[[#This Row],[Data do Caixa Realizado]]))</f>
        <v>11</v>
      </c>
      <c r="J27" s="14">
        <f>IF(TbRegistroEntradas[[#This Row],[Data do Caixa Realizado]]="",0,YEAR(TbRegistroEntradas[[#This Row],[Data do Caixa Realizado]]))</f>
        <v>2017</v>
      </c>
      <c r="K27" s="14">
        <f>IF(TbRegistroEntradas[[#This Row],[Data da Competência]]="",0,MONTH(TbRegistroEntradas[[#This Row],[Data da Competência]]))</f>
        <v>10</v>
      </c>
      <c r="L27" s="14">
        <f>IF(TbRegistroEntradas[[#This Row],[Data da Competência]]="",0,YEAR(TbRegistroEntradas[[#This Row],[Data da Competência]]))</f>
        <v>2017</v>
      </c>
      <c r="M27" s="14">
        <f>IF(TbRegistroEntradas[[#This Row],[Data do Caixa Previsto]]="",0,MONTH(TbRegistroEntradas[[#This Row],[Data do Caixa Previsto]]))</f>
        <v>10</v>
      </c>
      <c r="N27" s="14">
        <f>IF(TbRegistroEntradas[[#This Row],[Data do Caixa Previsto]]="",0,YEAR(TbRegistroEntradas[[#This Row],[Data do Caixa Previsto]]))</f>
        <v>2017</v>
      </c>
      <c r="O27" s="14" t="str">
        <f>IF(TbRegistroEntradas[[#This Row],[Data da Competência]]=TbRegistroEntradas[[#This Row],[Data do Caixa Previsto]],"Vista","Prazo")</f>
        <v>Vista</v>
      </c>
      <c r="P2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31.775638731523941</v>
      </c>
      <c r="Q27" s="14" t="str">
        <f ca="1">IF(AND(TbRegistroEntradas[[#This Row],[Data do Caixa Previsto]]&lt;TODAY(),TbRegistroEntradas[[#This Row],[Data do Caixa Realizado]]=""),"Vencida","Não vencida")</f>
        <v>Não vencida</v>
      </c>
    </row>
    <row r="28" spans="2:17" x14ac:dyDescent="0.25">
      <c r="B28" s="13">
        <v>43037.453877289088</v>
      </c>
      <c r="C28" s="13">
        <v>43030</v>
      </c>
      <c r="D28" s="13">
        <v>43030</v>
      </c>
      <c r="E28" s="14" t="s">
        <v>0</v>
      </c>
      <c r="F28" s="14" t="s">
        <v>3</v>
      </c>
      <c r="G28" s="14" t="s">
        <v>106</v>
      </c>
      <c r="H28" s="15">
        <v>2134</v>
      </c>
      <c r="I28" s="14">
        <f>IF(TbRegistroEntradas[[#This Row],[Data do Caixa Realizado]]="",0,MONTH(TbRegistroEntradas[[#This Row],[Data do Caixa Realizado]]))</f>
        <v>10</v>
      </c>
      <c r="J28" s="14">
        <f>IF(TbRegistroEntradas[[#This Row],[Data do Caixa Realizado]]="",0,YEAR(TbRegistroEntradas[[#This Row],[Data do Caixa Realizado]]))</f>
        <v>2017</v>
      </c>
      <c r="K28" s="14">
        <f>IF(TbRegistroEntradas[[#This Row],[Data da Competência]]="",0,MONTH(TbRegistroEntradas[[#This Row],[Data da Competência]]))</f>
        <v>10</v>
      </c>
      <c r="L28" s="14">
        <f>IF(TbRegistroEntradas[[#This Row],[Data da Competência]]="",0,YEAR(TbRegistroEntradas[[#This Row],[Data da Competência]]))</f>
        <v>2017</v>
      </c>
      <c r="M28" s="14">
        <f>IF(TbRegistroEntradas[[#This Row],[Data do Caixa Previsto]]="",0,MONTH(TbRegistroEntradas[[#This Row],[Data do Caixa Previsto]]))</f>
        <v>10</v>
      </c>
      <c r="N28" s="14">
        <f>IF(TbRegistroEntradas[[#This Row],[Data do Caixa Previsto]]="",0,YEAR(TbRegistroEntradas[[#This Row],[Data do Caixa Previsto]]))</f>
        <v>2017</v>
      </c>
      <c r="O28" s="14" t="str">
        <f>IF(TbRegistroEntradas[[#This Row],[Data da Competência]]=TbRegistroEntradas[[#This Row],[Data do Caixa Previsto]],"Vista","Prazo")</f>
        <v>Vista</v>
      </c>
      <c r="P2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7.4538772890882683</v>
      </c>
      <c r="Q28" s="14" t="str">
        <f ca="1">IF(AND(TbRegistroEntradas[[#This Row],[Data do Caixa Previsto]]&lt;TODAY(),TbRegistroEntradas[[#This Row],[Data do Caixa Realizado]]=""),"Vencida","Não vencida")</f>
        <v>Não vencida</v>
      </c>
    </row>
    <row r="29" spans="2:17" x14ac:dyDescent="0.25">
      <c r="B29" s="13">
        <v>43086.43235653804</v>
      </c>
      <c r="C29" s="13">
        <v>43032</v>
      </c>
      <c r="D29" s="13">
        <v>43032</v>
      </c>
      <c r="E29" s="14" t="s">
        <v>0</v>
      </c>
      <c r="F29" s="14" t="s">
        <v>17</v>
      </c>
      <c r="G29" s="14" t="s">
        <v>107</v>
      </c>
      <c r="H29" s="15">
        <v>257</v>
      </c>
      <c r="I29" s="14">
        <f>IF(TbRegistroEntradas[[#This Row],[Data do Caixa Realizado]]="",0,MONTH(TbRegistroEntradas[[#This Row],[Data do Caixa Realizado]]))</f>
        <v>12</v>
      </c>
      <c r="J29" s="14">
        <f>IF(TbRegistroEntradas[[#This Row],[Data do Caixa Realizado]]="",0,YEAR(TbRegistroEntradas[[#This Row],[Data do Caixa Realizado]]))</f>
        <v>2017</v>
      </c>
      <c r="K29" s="14">
        <f>IF(TbRegistroEntradas[[#This Row],[Data da Competência]]="",0,MONTH(TbRegistroEntradas[[#This Row],[Data da Competência]]))</f>
        <v>10</v>
      </c>
      <c r="L29" s="14">
        <f>IF(TbRegistroEntradas[[#This Row],[Data da Competência]]="",0,YEAR(TbRegistroEntradas[[#This Row],[Data da Competência]]))</f>
        <v>2017</v>
      </c>
      <c r="M29" s="14">
        <f>IF(TbRegistroEntradas[[#This Row],[Data do Caixa Previsto]]="",0,MONTH(TbRegistroEntradas[[#This Row],[Data do Caixa Previsto]]))</f>
        <v>10</v>
      </c>
      <c r="N29" s="14">
        <f>IF(TbRegistroEntradas[[#This Row],[Data do Caixa Previsto]]="",0,YEAR(TbRegistroEntradas[[#This Row],[Data do Caixa Previsto]]))</f>
        <v>2017</v>
      </c>
      <c r="O29" s="14" t="str">
        <f>IF(TbRegistroEntradas[[#This Row],[Data da Competência]]=TbRegistroEntradas[[#This Row],[Data do Caixa Previsto]],"Vista","Prazo")</f>
        <v>Vista</v>
      </c>
      <c r="P2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54.43235653804004</v>
      </c>
      <c r="Q29" s="14" t="str">
        <f ca="1">IF(AND(TbRegistroEntradas[[#This Row],[Data do Caixa Previsto]]&lt;TODAY(),TbRegistroEntradas[[#This Row],[Data do Caixa Realizado]]=""),"Vencida","Não vencida")</f>
        <v>Não vencida</v>
      </c>
    </row>
    <row r="30" spans="2:17" x14ac:dyDescent="0.25">
      <c r="B30" s="13">
        <v>43068.089414353737</v>
      </c>
      <c r="C30" s="13">
        <v>43032</v>
      </c>
      <c r="D30" s="13">
        <v>43068.089414353737</v>
      </c>
      <c r="E30" s="14" t="s">
        <v>0</v>
      </c>
      <c r="F30" s="14" t="s">
        <v>5</v>
      </c>
      <c r="G30" s="14" t="s">
        <v>108</v>
      </c>
      <c r="H30" s="15">
        <v>2019</v>
      </c>
      <c r="I30" s="14">
        <f>IF(TbRegistroEntradas[[#This Row],[Data do Caixa Realizado]]="",0,MONTH(TbRegistroEntradas[[#This Row],[Data do Caixa Realizado]]))</f>
        <v>11</v>
      </c>
      <c r="J30" s="14">
        <f>IF(TbRegistroEntradas[[#This Row],[Data do Caixa Realizado]]="",0,YEAR(TbRegistroEntradas[[#This Row],[Data do Caixa Realizado]]))</f>
        <v>2017</v>
      </c>
      <c r="K30" s="14">
        <f>IF(TbRegistroEntradas[[#This Row],[Data da Competência]]="",0,MONTH(TbRegistroEntradas[[#This Row],[Data da Competência]]))</f>
        <v>10</v>
      </c>
      <c r="L30" s="14">
        <f>IF(TbRegistroEntradas[[#This Row],[Data da Competência]]="",0,YEAR(TbRegistroEntradas[[#This Row],[Data da Competência]]))</f>
        <v>2017</v>
      </c>
      <c r="M30" s="14">
        <f>IF(TbRegistroEntradas[[#This Row],[Data do Caixa Previsto]]="",0,MONTH(TbRegistroEntradas[[#This Row],[Data do Caixa Previsto]]))</f>
        <v>11</v>
      </c>
      <c r="N30" s="14">
        <f>IF(TbRegistroEntradas[[#This Row],[Data do Caixa Previsto]]="",0,YEAR(TbRegistroEntradas[[#This Row],[Data do Caixa Previsto]]))</f>
        <v>2017</v>
      </c>
      <c r="O30" s="14" t="str">
        <f>IF(TbRegistroEntradas[[#This Row],[Data da Competência]]=TbRegistroEntradas[[#This Row],[Data do Caixa Previsto]],"Vista","Prazo")</f>
        <v>Prazo</v>
      </c>
      <c r="P3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30" s="14" t="str">
        <f ca="1">IF(AND(TbRegistroEntradas[[#This Row],[Data do Caixa Previsto]]&lt;TODAY(),TbRegistroEntradas[[#This Row],[Data do Caixa Realizado]]=""),"Vencida","Não vencida")</f>
        <v>Não vencida</v>
      </c>
    </row>
    <row r="31" spans="2:17" x14ac:dyDescent="0.25">
      <c r="B31" s="13">
        <v>43091.729186681107</v>
      </c>
      <c r="C31" s="13">
        <v>43034</v>
      </c>
      <c r="D31" s="13">
        <v>43034</v>
      </c>
      <c r="E31" s="14" t="s">
        <v>0</v>
      </c>
      <c r="F31" s="14" t="s">
        <v>24</v>
      </c>
      <c r="G31" s="14" t="s">
        <v>109</v>
      </c>
      <c r="H31" s="15">
        <v>3696</v>
      </c>
      <c r="I31" s="14">
        <f>IF(TbRegistroEntradas[[#This Row],[Data do Caixa Realizado]]="",0,MONTH(TbRegistroEntradas[[#This Row],[Data do Caixa Realizado]]))</f>
        <v>12</v>
      </c>
      <c r="J31" s="14">
        <f>IF(TbRegistroEntradas[[#This Row],[Data do Caixa Realizado]]="",0,YEAR(TbRegistroEntradas[[#This Row],[Data do Caixa Realizado]]))</f>
        <v>2017</v>
      </c>
      <c r="K31" s="14">
        <f>IF(TbRegistroEntradas[[#This Row],[Data da Competência]]="",0,MONTH(TbRegistroEntradas[[#This Row],[Data da Competência]]))</f>
        <v>10</v>
      </c>
      <c r="L31" s="14">
        <f>IF(TbRegistroEntradas[[#This Row],[Data da Competência]]="",0,YEAR(TbRegistroEntradas[[#This Row],[Data da Competência]]))</f>
        <v>2017</v>
      </c>
      <c r="M31" s="14">
        <f>IF(TbRegistroEntradas[[#This Row],[Data do Caixa Previsto]]="",0,MONTH(TbRegistroEntradas[[#This Row],[Data do Caixa Previsto]]))</f>
        <v>10</v>
      </c>
      <c r="N31" s="14">
        <f>IF(TbRegistroEntradas[[#This Row],[Data do Caixa Previsto]]="",0,YEAR(TbRegistroEntradas[[#This Row],[Data do Caixa Previsto]]))</f>
        <v>2017</v>
      </c>
      <c r="O31" s="14" t="str">
        <f>IF(TbRegistroEntradas[[#This Row],[Data da Competência]]=TbRegistroEntradas[[#This Row],[Data do Caixa Previsto]],"Vista","Prazo")</f>
        <v>Vista</v>
      </c>
      <c r="P3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57.729186681106512</v>
      </c>
      <c r="Q31" s="14" t="str">
        <f ca="1">IF(AND(TbRegistroEntradas[[#This Row],[Data do Caixa Previsto]]&lt;TODAY(),TbRegistroEntradas[[#This Row],[Data do Caixa Realizado]]=""),"Vencida","Não vencida")</f>
        <v>Não vencida</v>
      </c>
    </row>
    <row r="32" spans="2:17" x14ac:dyDescent="0.25">
      <c r="B32" s="13">
        <v>43052.461098465239</v>
      </c>
      <c r="C32" s="13">
        <v>43038</v>
      </c>
      <c r="D32" s="13">
        <v>43052.461098465239</v>
      </c>
      <c r="E32" s="14" t="s">
        <v>0</v>
      </c>
      <c r="F32" s="14" t="s">
        <v>5</v>
      </c>
      <c r="G32" s="14" t="s">
        <v>110</v>
      </c>
      <c r="H32" s="15">
        <v>4446</v>
      </c>
      <c r="I32" s="14">
        <f>IF(TbRegistroEntradas[[#This Row],[Data do Caixa Realizado]]="",0,MONTH(TbRegistroEntradas[[#This Row],[Data do Caixa Realizado]]))</f>
        <v>11</v>
      </c>
      <c r="J32" s="14">
        <f>IF(TbRegistroEntradas[[#This Row],[Data do Caixa Realizado]]="",0,YEAR(TbRegistroEntradas[[#This Row],[Data do Caixa Realizado]]))</f>
        <v>2017</v>
      </c>
      <c r="K32" s="14">
        <f>IF(TbRegistroEntradas[[#This Row],[Data da Competência]]="",0,MONTH(TbRegistroEntradas[[#This Row],[Data da Competência]]))</f>
        <v>10</v>
      </c>
      <c r="L32" s="14">
        <f>IF(TbRegistroEntradas[[#This Row],[Data da Competência]]="",0,YEAR(TbRegistroEntradas[[#This Row],[Data da Competência]]))</f>
        <v>2017</v>
      </c>
      <c r="M32" s="14">
        <f>IF(TbRegistroEntradas[[#This Row],[Data do Caixa Previsto]]="",0,MONTH(TbRegistroEntradas[[#This Row],[Data do Caixa Previsto]]))</f>
        <v>11</v>
      </c>
      <c r="N32" s="14">
        <f>IF(TbRegistroEntradas[[#This Row],[Data do Caixa Previsto]]="",0,YEAR(TbRegistroEntradas[[#This Row],[Data do Caixa Previsto]]))</f>
        <v>2017</v>
      </c>
      <c r="O32" s="14" t="str">
        <f>IF(TbRegistroEntradas[[#This Row],[Data da Competência]]=TbRegistroEntradas[[#This Row],[Data do Caixa Previsto]],"Vista","Prazo")</f>
        <v>Prazo</v>
      </c>
      <c r="P3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32" s="14" t="str">
        <f ca="1">IF(AND(TbRegistroEntradas[[#This Row],[Data do Caixa Previsto]]&lt;TODAY(),TbRegistroEntradas[[#This Row],[Data do Caixa Realizado]]=""),"Vencida","Não vencida")</f>
        <v>Não vencida</v>
      </c>
    </row>
    <row r="33" spans="2:17" x14ac:dyDescent="0.25">
      <c r="B33" s="13">
        <v>43057.597589016004</v>
      </c>
      <c r="C33" s="13">
        <v>43040</v>
      </c>
      <c r="D33" s="13">
        <v>43057.597589016004</v>
      </c>
      <c r="E33" s="14" t="s">
        <v>0</v>
      </c>
      <c r="F33" s="14" t="s">
        <v>5</v>
      </c>
      <c r="G33" s="14" t="s">
        <v>111</v>
      </c>
      <c r="H33" s="15">
        <v>1445</v>
      </c>
      <c r="I33" s="14">
        <f>IF(TbRegistroEntradas[[#This Row],[Data do Caixa Realizado]]="",0,MONTH(TbRegistroEntradas[[#This Row],[Data do Caixa Realizado]]))</f>
        <v>11</v>
      </c>
      <c r="J33" s="14">
        <f>IF(TbRegistroEntradas[[#This Row],[Data do Caixa Realizado]]="",0,YEAR(TbRegistroEntradas[[#This Row],[Data do Caixa Realizado]]))</f>
        <v>2017</v>
      </c>
      <c r="K33" s="14">
        <f>IF(TbRegistroEntradas[[#This Row],[Data da Competência]]="",0,MONTH(TbRegistroEntradas[[#This Row],[Data da Competência]]))</f>
        <v>11</v>
      </c>
      <c r="L33" s="14">
        <f>IF(TbRegistroEntradas[[#This Row],[Data da Competência]]="",0,YEAR(TbRegistroEntradas[[#This Row],[Data da Competência]]))</f>
        <v>2017</v>
      </c>
      <c r="M33" s="14">
        <f>IF(TbRegistroEntradas[[#This Row],[Data do Caixa Previsto]]="",0,MONTH(TbRegistroEntradas[[#This Row],[Data do Caixa Previsto]]))</f>
        <v>11</v>
      </c>
      <c r="N33" s="14">
        <f>IF(TbRegistroEntradas[[#This Row],[Data do Caixa Previsto]]="",0,YEAR(TbRegistroEntradas[[#This Row],[Data do Caixa Previsto]]))</f>
        <v>2017</v>
      </c>
      <c r="O33" s="14" t="str">
        <f>IF(TbRegistroEntradas[[#This Row],[Data da Competência]]=TbRegistroEntradas[[#This Row],[Data do Caixa Previsto]],"Vista","Prazo")</f>
        <v>Prazo</v>
      </c>
      <c r="P3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33" s="14" t="str">
        <f ca="1">IF(AND(TbRegistroEntradas[[#This Row],[Data do Caixa Previsto]]&lt;TODAY(),TbRegistroEntradas[[#This Row],[Data do Caixa Realizado]]=""),"Vencida","Não vencida")</f>
        <v>Não vencida</v>
      </c>
    </row>
    <row r="34" spans="2:17" x14ac:dyDescent="0.25">
      <c r="B34" s="13">
        <v>43082.490898737618</v>
      </c>
      <c r="C34" s="13">
        <v>43043</v>
      </c>
      <c r="D34" s="13">
        <v>43068.583109095191</v>
      </c>
      <c r="E34" s="14" t="s">
        <v>0</v>
      </c>
      <c r="F34" s="14" t="s">
        <v>3</v>
      </c>
      <c r="G34" s="14" t="s">
        <v>112</v>
      </c>
      <c r="H34" s="15">
        <v>3559</v>
      </c>
      <c r="I34" s="14">
        <f>IF(TbRegistroEntradas[[#This Row],[Data do Caixa Realizado]]="",0,MONTH(TbRegistroEntradas[[#This Row],[Data do Caixa Realizado]]))</f>
        <v>12</v>
      </c>
      <c r="J34" s="14">
        <f>IF(TbRegistroEntradas[[#This Row],[Data do Caixa Realizado]]="",0,YEAR(TbRegistroEntradas[[#This Row],[Data do Caixa Realizado]]))</f>
        <v>2017</v>
      </c>
      <c r="K34" s="14">
        <f>IF(TbRegistroEntradas[[#This Row],[Data da Competência]]="",0,MONTH(TbRegistroEntradas[[#This Row],[Data da Competência]]))</f>
        <v>11</v>
      </c>
      <c r="L34" s="14">
        <f>IF(TbRegistroEntradas[[#This Row],[Data da Competência]]="",0,YEAR(TbRegistroEntradas[[#This Row],[Data da Competência]]))</f>
        <v>2017</v>
      </c>
      <c r="M34" s="14">
        <f>IF(TbRegistroEntradas[[#This Row],[Data do Caixa Previsto]]="",0,MONTH(TbRegistroEntradas[[#This Row],[Data do Caixa Previsto]]))</f>
        <v>11</v>
      </c>
      <c r="N34" s="14">
        <f>IF(TbRegistroEntradas[[#This Row],[Data do Caixa Previsto]]="",0,YEAR(TbRegistroEntradas[[#This Row],[Data do Caixa Previsto]]))</f>
        <v>2017</v>
      </c>
      <c r="O34" s="14" t="str">
        <f>IF(TbRegistroEntradas[[#This Row],[Data da Competência]]=TbRegistroEntradas[[#This Row],[Data do Caixa Previsto]],"Vista","Prazo")</f>
        <v>Prazo</v>
      </c>
      <c r="P3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13.907789642427815</v>
      </c>
      <c r="Q34" s="14" t="str">
        <f ca="1">IF(AND(TbRegistroEntradas[[#This Row],[Data do Caixa Previsto]]&lt;TODAY(),TbRegistroEntradas[[#This Row],[Data do Caixa Realizado]]=""),"Vencida","Não vencida")</f>
        <v>Não vencida</v>
      </c>
    </row>
    <row r="35" spans="2:17" x14ac:dyDescent="0.25">
      <c r="B35" s="13">
        <v>43073.038025931273</v>
      </c>
      <c r="C35" s="13">
        <v>43047</v>
      </c>
      <c r="D35" s="13">
        <v>43047</v>
      </c>
      <c r="E35" s="14" t="s">
        <v>0</v>
      </c>
      <c r="F35" s="14" t="s">
        <v>24</v>
      </c>
      <c r="G35" s="14" t="s">
        <v>113</v>
      </c>
      <c r="H35" s="15">
        <v>547</v>
      </c>
      <c r="I35" s="14">
        <f>IF(TbRegistroEntradas[[#This Row],[Data do Caixa Realizado]]="",0,MONTH(TbRegistroEntradas[[#This Row],[Data do Caixa Realizado]]))</f>
        <v>12</v>
      </c>
      <c r="J35" s="14">
        <f>IF(TbRegistroEntradas[[#This Row],[Data do Caixa Realizado]]="",0,YEAR(TbRegistroEntradas[[#This Row],[Data do Caixa Realizado]]))</f>
        <v>2017</v>
      </c>
      <c r="K35" s="14">
        <f>IF(TbRegistroEntradas[[#This Row],[Data da Competência]]="",0,MONTH(TbRegistroEntradas[[#This Row],[Data da Competência]]))</f>
        <v>11</v>
      </c>
      <c r="L35" s="14">
        <f>IF(TbRegistroEntradas[[#This Row],[Data da Competência]]="",0,YEAR(TbRegistroEntradas[[#This Row],[Data da Competência]]))</f>
        <v>2017</v>
      </c>
      <c r="M35" s="14">
        <f>IF(TbRegistroEntradas[[#This Row],[Data do Caixa Previsto]]="",0,MONTH(TbRegistroEntradas[[#This Row],[Data do Caixa Previsto]]))</f>
        <v>11</v>
      </c>
      <c r="N35" s="14">
        <f>IF(TbRegistroEntradas[[#This Row],[Data do Caixa Previsto]]="",0,YEAR(TbRegistroEntradas[[#This Row],[Data do Caixa Previsto]]))</f>
        <v>2017</v>
      </c>
      <c r="O35" s="14" t="str">
        <f>IF(TbRegistroEntradas[[#This Row],[Data da Competência]]=TbRegistroEntradas[[#This Row],[Data do Caixa Previsto]],"Vista","Prazo")</f>
        <v>Vista</v>
      </c>
      <c r="P3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26.038025931273296</v>
      </c>
      <c r="Q35" s="14" t="str">
        <f ca="1">IF(AND(TbRegistroEntradas[[#This Row],[Data do Caixa Previsto]]&lt;TODAY(),TbRegistroEntradas[[#This Row],[Data do Caixa Realizado]]=""),"Vencida","Não vencida")</f>
        <v>Não vencida</v>
      </c>
    </row>
    <row r="36" spans="2:17" x14ac:dyDescent="0.25">
      <c r="B36" s="13">
        <v>43090.51661478445</v>
      </c>
      <c r="C36" s="13">
        <v>43051</v>
      </c>
      <c r="D36" s="13">
        <v>43051</v>
      </c>
      <c r="E36" s="14" t="s">
        <v>0</v>
      </c>
      <c r="F36" s="14" t="s">
        <v>24</v>
      </c>
      <c r="G36" s="14" t="s">
        <v>114</v>
      </c>
      <c r="H36" s="15">
        <v>1221</v>
      </c>
      <c r="I36" s="14">
        <f>IF(TbRegistroEntradas[[#This Row],[Data do Caixa Realizado]]="",0,MONTH(TbRegistroEntradas[[#This Row],[Data do Caixa Realizado]]))</f>
        <v>12</v>
      </c>
      <c r="J36" s="14">
        <f>IF(TbRegistroEntradas[[#This Row],[Data do Caixa Realizado]]="",0,YEAR(TbRegistroEntradas[[#This Row],[Data do Caixa Realizado]]))</f>
        <v>2017</v>
      </c>
      <c r="K36" s="14">
        <f>IF(TbRegistroEntradas[[#This Row],[Data da Competência]]="",0,MONTH(TbRegistroEntradas[[#This Row],[Data da Competência]]))</f>
        <v>11</v>
      </c>
      <c r="L36" s="14">
        <f>IF(TbRegistroEntradas[[#This Row],[Data da Competência]]="",0,YEAR(TbRegistroEntradas[[#This Row],[Data da Competência]]))</f>
        <v>2017</v>
      </c>
      <c r="M36" s="14">
        <f>IF(TbRegistroEntradas[[#This Row],[Data do Caixa Previsto]]="",0,MONTH(TbRegistroEntradas[[#This Row],[Data do Caixa Previsto]]))</f>
        <v>11</v>
      </c>
      <c r="N36" s="14">
        <f>IF(TbRegistroEntradas[[#This Row],[Data do Caixa Previsto]]="",0,YEAR(TbRegistroEntradas[[#This Row],[Data do Caixa Previsto]]))</f>
        <v>2017</v>
      </c>
      <c r="O36" s="14" t="str">
        <f>IF(TbRegistroEntradas[[#This Row],[Data da Competência]]=TbRegistroEntradas[[#This Row],[Data do Caixa Previsto]],"Vista","Prazo")</f>
        <v>Vista</v>
      </c>
      <c r="P3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39.516614784450212</v>
      </c>
      <c r="Q36" s="14" t="str">
        <f ca="1">IF(AND(TbRegistroEntradas[[#This Row],[Data do Caixa Previsto]]&lt;TODAY(),TbRegistroEntradas[[#This Row],[Data do Caixa Realizado]]=""),"Vencida","Não vencida")</f>
        <v>Não vencida</v>
      </c>
    </row>
    <row r="37" spans="2:17" x14ac:dyDescent="0.25">
      <c r="B37" s="13">
        <v>43130.815754318886</v>
      </c>
      <c r="C37" s="13">
        <v>43053</v>
      </c>
      <c r="D37" s="13">
        <v>43101.638058855067</v>
      </c>
      <c r="E37" s="14" t="s">
        <v>0</v>
      </c>
      <c r="F37" s="14" t="s">
        <v>5</v>
      </c>
      <c r="G37" s="14" t="s">
        <v>115</v>
      </c>
      <c r="H37" s="15">
        <v>4108</v>
      </c>
      <c r="I37" s="14">
        <f>IF(TbRegistroEntradas[[#This Row],[Data do Caixa Realizado]]="",0,MONTH(TbRegistroEntradas[[#This Row],[Data do Caixa Realizado]]))</f>
        <v>1</v>
      </c>
      <c r="J37" s="14">
        <f>IF(TbRegistroEntradas[[#This Row],[Data do Caixa Realizado]]="",0,YEAR(TbRegistroEntradas[[#This Row],[Data do Caixa Realizado]]))</f>
        <v>2018</v>
      </c>
      <c r="K37" s="14">
        <f>IF(TbRegistroEntradas[[#This Row],[Data da Competência]]="",0,MONTH(TbRegistroEntradas[[#This Row],[Data da Competência]]))</f>
        <v>11</v>
      </c>
      <c r="L37" s="14">
        <f>IF(TbRegistroEntradas[[#This Row],[Data da Competência]]="",0,YEAR(TbRegistroEntradas[[#This Row],[Data da Competência]]))</f>
        <v>2017</v>
      </c>
      <c r="M37" s="14">
        <f>IF(TbRegistroEntradas[[#This Row],[Data do Caixa Previsto]]="",0,MONTH(TbRegistroEntradas[[#This Row],[Data do Caixa Previsto]]))</f>
        <v>1</v>
      </c>
      <c r="N37" s="14">
        <f>IF(TbRegistroEntradas[[#This Row],[Data do Caixa Previsto]]="",0,YEAR(TbRegistroEntradas[[#This Row],[Data do Caixa Previsto]]))</f>
        <v>2018</v>
      </c>
      <c r="O37" s="14" t="str">
        <f>IF(TbRegistroEntradas[[#This Row],[Data da Competência]]=TbRegistroEntradas[[#This Row],[Data do Caixa Previsto]],"Vista","Prazo")</f>
        <v>Prazo</v>
      </c>
      <c r="P3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29.177695463818964</v>
      </c>
      <c r="Q37" s="14" t="str">
        <f ca="1">IF(AND(TbRegistroEntradas[[#This Row],[Data do Caixa Previsto]]&lt;TODAY(),TbRegistroEntradas[[#This Row],[Data do Caixa Realizado]]=""),"Vencida","Não vencida")</f>
        <v>Não vencida</v>
      </c>
    </row>
    <row r="38" spans="2:17" x14ac:dyDescent="0.25">
      <c r="B38" s="13">
        <v>43081.249044856137</v>
      </c>
      <c r="C38" s="13">
        <v>43055</v>
      </c>
      <c r="D38" s="13">
        <v>43055</v>
      </c>
      <c r="E38" s="14" t="s">
        <v>0</v>
      </c>
      <c r="F38" s="14" t="s">
        <v>24</v>
      </c>
      <c r="G38" s="14" t="s">
        <v>116</v>
      </c>
      <c r="H38" s="15">
        <v>3714</v>
      </c>
      <c r="I38" s="14">
        <f>IF(TbRegistroEntradas[[#This Row],[Data do Caixa Realizado]]="",0,MONTH(TbRegistroEntradas[[#This Row],[Data do Caixa Realizado]]))</f>
        <v>12</v>
      </c>
      <c r="J38" s="14">
        <f>IF(TbRegistroEntradas[[#This Row],[Data do Caixa Realizado]]="",0,YEAR(TbRegistroEntradas[[#This Row],[Data do Caixa Realizado]]))</f>
        <v>2017</v>
      </c>
      <c r="K38" s="14">
        <f>IF(TbRegistroEntradas[[#This Row],[Data da Competência]]="",0,MONTH(TbRegistroEntradas[[#This Row],[Data da Competência]]))</f>
        <v>11</v>
      </c>
      <c r="L38" s="14">
        <f>IF(TbRegistroEntradas[[#This Row],[Data da Competência]]="",0,YEAR(TbRegistroEntradas[[#This Row],[Data da Competência]]))</f>
        <v>2017</v>
      </c>
      <c r="M38" s="14">
        <f>IF(TbRegistroEntradas[[#This Row],[Data do Caixa Previsto]]="",0,MONTH(TbRegistroEntradas[[#This Row],[Data do Caixa Previsto]]))</f>
        <v>11</v>
      </c>
      <c r="N38" s="14">
        <f>IF(TbRegistroEntradas[[#This Row],[Data do Caixa Previsto]]="",0,YEAR(TbRegistroEntradas[[#This Row],[Data do Caixa Previsto]]))</f>
        <v>2017</v>
      </c>
      <c r="O38" s="14" t="str">
        <f>IF(TbRegistroEntradas[[#This Row],[Data da Competência]]=TbRegistroEntradas[[#This Row],[Data do Caixa Previsto]],"Vista","Prazo")</f>
        <v>Vista</v>
      </c>
      <c r="P3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26.249044856136607</v>
      </c>
      <c r="Q38" s="14" t="str">
        <f ca="1">IF(AND(TbRegistroEntradas[[#This Row],[Data do Caixa Previsto]]&lt;TODAY(),TbRegistroEntradas[[#This Row],[Data do Caixa Realizado]]=""),"Vencida","Não vencida")</f>
        <v>Não vencida</v>
      </c>
    </row>
    <row r="39" spans="2:17" x14ac:dyDescent="0.25">
      <c r="B39" s="13">
        <v>43101.376481739084</v>
      </c>
      <c r="C39" s="13">
        <v>43057</v>
      </c>
      <c r="D39" s="13">
        <v>43101.376481739084</v>
      </c>
      <c r="E39" s="14" t="s">
        <v>0</v>
      </c>
      <c r="F39" s="14" t="s">
        <v>17</v>
      </c>
      <c r="G39" s="14" t="s">
        <v>117</v>
      </c>
      <c r="H39" s="15">
        <v>4843</v>
      </c>
      <c r="I39" s="14">
        <f>IF(TbRegistroEntradas[[#This Row],[Data do Caixa Realizado]]="",0,MONTH(TbRegistroEntradas[[#This Row],[Data do Caixa Realizado]]))</f>
        <v>1</v>
      </c>
      <c r="J39" s="14">
        <f>IF(TbRegistroEntradas[[#This Row],[Data do Caixa Realizado]]="",0,YEAR(TbRegistroEntradas[[#This Row],[Data do Caixa Realizado]]))</f>
        <v>2018</v>
      </c>
      <c r="K39" s="14">
        <f>IF(TbRegistroEntradas[[#This Row],[Data da Competência]]="",0,MONTH(TbRegistroEntradas[[#This Row],[Data da Competência]]))</f>
        <v>11</v>
      </c>
      <c r="L39" s="14">
        <f>IF(TbRegistroEntradas[[#This Row],[Data da Competência]]="",0,YEAR(TbRegistroEntradas[[#This Row],[Data da Competência]]))</f>
        <v>2017</v>
      </c>
      <c r="M39" s="14">
        <f>IF(TbRegistroEntradas[[#This Row],[Data do Caixa Previsto]]="",0,MONTH(TbRegistroEntradas[[#This Row],[Data do Caixa Previsto]]))</f>
        <v>1</v>
      </c>
      <c r="N39" s="14">
        <f>IF(TbRegistroEntradas[[#This Row],[Data do Caixa Previsto]]="",0,YEAR(TbRegistroEntradas[[#This Row],[Data do Caixa Previsto]]))</f>
        <v>2018</v>
      </c>
      <c r="O39" s="14" t="str">
        <f>IF(TbRegistroEntradas[[#This Row],[Data da Competência]]=TbRegistroEntradas[[#This Row],[Data do Caixa Previsto]],"Vista","Prazo")</f>
        <v>Prazo</v>
      </c>
      <c r="P3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39" s="14" t="str">
        <f ca="1">IF(AND(TbRegistroEntradas[[#This Row],[Data do Caixa Previsto]]&lt;TODAY(),TbRegistroEntradas[[#This Row],[Data do Caixa Realizado]]=""),"Vencida","Não vencida")</f>
        <v>Não vencida</v>
      </c>
    </row>
    <row r="40" spans="2:17" x14ac:dyDescent="0.25">
      <c r="B40" s="13">
        <v>43151.25396646517</v>
      </c>
      <c r="C40" s="13">
        <v>43058</v>
      </c>
      <c r="D40" s="13">
        <v>43090.626109903205</v>
      </c>
      <c r="E40" s="14" t="s">
        <v>0</v>
      </c>
      <c r="F40" s="14" t="s">
        <v>49</v>
      </c>
      <c r="G40" s="14" t="s">
        <v>118</v>
      </c>
      <c r="H40" s="15">
        <v>4831</v>
      </c>
      <c r="I40" s="14">
        <f>IF(TbRegistroEntradas[[#This Row],[Data do Caixa Realizado]]="",0,MONTH(TbRegistroEntradas[[#This Row],[Data do Caixa Realizado]]))</f>
        <v>2</v>
      </c>
      <c r="J40" s="14">
        <f>IF(TbRegistroEntradas[[#This Row],[Data do Caixa Realizado]]="",0,YEAR(TbRegistroEntradas[[#This Row],[Data do Caixa Realizado]]))</f>
        <v>2018</v>
      </c>
      <c r="K40" s="14">
        <f>IF(TbRegistroEntradas[[#This Row],[Data da Competência]]="",0,MONTH(TbRegistroEntradas[[#This Row],[Data da Competência]]))</f>
        <v>11</v>
      </c>
      <c r="L40" s="14">
        <f>IF(TbRegistroEntradas[[#This Row],[Data da Competência]]="",0,YEAR(TbRegistroEntradas[[#This Row],[Data da Competência]]))</f>
        <v>2017</v>
      </c>
      <c r="M40" s="14">
        <f>IF(TbRegistroEntradas[[#This Row],[Data do Caixa Previsto]]="",0,MONTH(TbRegistroEntradas[[#This Row],[Data do Caixa Previsto]]))</f>
        <v>12</v>
      </c>
      <c r="N40" s="14">
        <f>IF(TbRegistroEntradas[[#This Row],[Data do Caixa Previsto]]="",0,YEAR(TbRegistroEntradas[[#This Row],[Data do Caixa Previsto]]))</f>
        <v>2017</v>
      </c>
      <c r="O40" s="14" t="str">
        <f>IF(TbRegistroEntradas[[#This Row],[Data da Competência]]=TbRegistroEntradas[[#This Row],[Data do Caixa Previsto]],"Vista","Prazo")</f>
        <v>Prazo</v>
      </c>
      <c r="P4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60.627856561965018</v>
      </c>
      <c r="Q40" s="14" t="str">
        <f ca="1">IF(AND(TbRegistroEntradas[[#This Row],[Data do Caixa Previsto]]&lt;TODAY(),TbRegistroEntradas[[#This Row],[Data do Caixa Realizado]]=""),"Vencida","Não vencida")</f>
        <v>Não vencida</v>
      </c>
    </row>
    <row r="41" spans="2:17" x14ac:dyDescent="0.25">
      <c r="B41" s="13">
        <v>43188.080050119235</v>
      </c>
      <c r="C41" s="13">
        <v>43059</v>
      </c>
      <c r="D41" s="13">
        <v>43059</v>
      </c>
      <c r="E41" s="14" t="s">
        <v>0</v>
      </c>
      <c r="F41" s="14" t="s">
        <v>24</v>
      </c>
      <c r="G41" s="14" t="s">
        <v>119</v>
      </c>
      <c r="H41" s="15">
        <v>2072</v>
      </c>
      <c r="I41" s="14">
        <f>IF(TbRegistroEntradas[[#This Row],[Data do Caixa Realizado]]="",0,MONTH(TbRegistroEntradas[[#This Row],[Data do Caixa Realizado]]))</f>
        <v>3</v>
      </c>
      <c r="J41" s="14">
        <f>IF(TbRegistroEntradas[[#This Row],[Data do Caixa Realizado]]="",0,YEAR(TbRegistroEntradas[[#This Row],[Data do Caixa Realizado]]))</f>
        <v>2018</v>
      </c>
      <c r="K41" s="14">
        <f>IF(TbRegistroEntradas[[#This Row],[Data da Competência]]="",0,MONTH(TbRegistroEntradas[[#This Row],[Data da Competência]]))</f>
        <v>11</v>
      </c>
      <c r="L41" s="14">
        <f>IF(TbRegistroEntradas[[#This Row],[Data da Competência]]="",0,YEAR(TbRegistroEntradas[[#This Row],[Data da Competência]]))</f>
        <v>2017</v>
      </c>
      <c r="M41" s="14">
        <f>IF(TbRegistroEntradas[[#This Row],[Data do Caixa Previsto]]="",0,MONTH(TbRegistroEntradas[[#This Row],[Data do Caixa Previsto]]))</f>
        <v>11</v>
      </c>
      <c r="N41" s="14">
        <f>IF(TbRegistroEntradas[[#This Row],[Data do Caixa Previsto]]="",0,YEAR(TbRegistroEntradas[[#This Row],[Data do Caixa Previsto]]))</f>
        <v>2017</v>
      </c>
      <c r="O41" s="14" t="str">
        <f>IF(TbRegistroEntradas[[#This Row],[Data da Competência]]=TbRegistroEntradas[[#This Row],[Data do Caixa Previsto]],"Vista","Prazo")</f>
        <v>Vista</v>
      </c>
      <c r="P4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129.08005011923524</v>
      </c>
      <c r="Q41" s="14" t="str">
        <f ca="1">IF(AND(TbRegistroEntradas[[#This Row],[Data do Caixa Previsto]]&lt;TODAY(),TbRegistroEntradas[[#This Row],[Data do Caixa Realizado]]=""),"Vencida","Não vencida")</f>
        <v>Não vencida</v>
      </c>
    </row>
    <row r="42" spans="2:17" x14ac:dyDescent="0.25">
      <c r="B42" s="13">
        <v>43122.64068927092</v>
      </c>
      <c r="C42" s="13">
        <v>43063</v>
      </c>
      <c r="D42" s="13">
        <v>43122.64068927092</v>
      </c>
      <c r="E42" s="14" t="s">
        <v>0</v>
      </c>
      <c r="F42" s="14" t="s">
        <v>3</v>
      </c>
      <c r="G42" s="14" t="s">
        <v>120</v>
      </c>
      <c r="H42" s="15">
        <v>3992</v>
      </c>
      <c r="I42" s="14">
        <f>IF(TbRegistroEntradas[[#This Row],[Data do Caixa Realizado]]="",0,MONTH(TbRegistroEntradas[[#This Row],[Data do Caixa Realizado]]))</f>
        <v>1</v>
      </c>
      <c r="J42" s="14">
        <f>IF(TbRegistroEntradas[[#This Row],[Data do Caixa Realizado]]="",0,YEAR(TbRegistroEntradas[[#This Row],[Data do Caixa Realizado]]))</f>
        <v>2018</v>
      </c>
      <c r="K42" s="14">
        <f>IF(TbRegistroEntradas[[#This Row],[Data da Competência]]="",0,MONTH(TbRegistroEntradas[[#This Row],[Data da Competência]]))</f>
        <v>11</v>
      </c>
      <c r="L42" s="14">
        <f>IF(TbRegistroEntradas[[#This Row],[Data da Competência]]="",0,YEAR(TbRegistroEntradas[[#This Row],[Data da Competência]]))</f>
        <v>2017</v>
      </c>
      <c r="M42" s="14">
        <f>IF(TbRegistroEntradas[[#This Row],[Data do Caixa Previsto]]="",0,MONTH(TbRegistroEntradas[[#This Row],[Data do Caixa Previsto]]))</f>
        <v>1</v>
      </c>
      <c r="N42" s="14">
        <f>IF(TbRegistroEntradas[[#This Row],[Data do Caixa Previsto]]="",0,YEAR(TbRegistroEntradas[[#This Row],[Data do Caixa Previsto]]))</f>
        <v>2018</v>
      </c>
      <c r="O42" s="14" t="str">
        <f>IF(TbRegistroEntradas[[#This Row],[Data da Competência]]=TbRegistroEntradas[[#This Row],[Data do Caixa Previsto]],"Vista","Prazo")</f>
        <v>Prazo</v>
      </c>
      <c r="P4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42" s="14" t="str">
        <f ca="1">IF(AND(TbRegistroEntradas[[#This Row],[Data do Caixa Previsto]]&lt;TODAY(),TbRegistroEntradas[[#This Row],[Data do Caixa Realizado]]=""),"Vencida","Não vencida")</f>
        <v>Não vencida</v>
      </c>
    </row>
    <row r="43" spans="2:17" x14ac:dyDescent="0.25">
      <c r="B43" s="13" t="s">
        <v>92</v>
      </c>
      <c r="C43" s="13">
        <v>43068</v>
      </c>
      <c r="D43" s="13">
        <v>43068</v>
      </c>
      <c r="E43" s="14" t="s">
        <v>0</v>
      </c>
      <c r="F43" s="14" t="s">
        <v>17</v>
      </c>
      <c r="G43" s="14" t="s">
        <v>121</v>
      </c>
      <c r="H43" s="15">
        <v>1284</v>
      </c>
      <c r="I43" s="14">
        <f>IF(TbRegistroEntradas[[#This Row],[Data do Caixa Realizado]]="",0,MONTH(TbRegistroEntradas[[#This Row],[Data do Caixa Realizado]]))</f>
        <v>0</v>
      </c>
      <c r="J43" s="14">
        <f>IF(TbRegistroEntradas[[#This Row],[Data do Caixa Realizado]]="",0,YEAR(TbRegistroEntradas[[#This Row],[Data do Caixa Realizado]]))</f>
        <v>0</v>
      </c>
      <c r="K43" s="14">
        <f>IF(TbRegistroEntradas[[#This Row],[Data da Competência]]="",0,MONTH(TbRegistroEntradas[[#This Row],[Data da Competência]]))</f>
        <v>11</v>
      </c>
      <c r="L43" s="14">
        <f>IF(TbRegistroEntradas[[#This Row],[Data da Competência]]="",0,YEAR(TbRegistroEntradas[[#This Row],[Data da Competência]]))</f>
        <v>2017</v>
      </c>
      <c r="M43" s="14">
        <f>IF(TbRegistroEntradas[[#This Row],[Data do Caixa Previsto]]="",0,MONTH(TbRegistroEntradas[[#This Row],[Data do Caixa Previsto]]))</f>
        <v>11</v>
      </c>
      <c r="N43" s="14">
        <f>IF(TbRegistroEntradas[[#This Row],[Data do Caixa Previsto]]="",0,YEAR(TbRegistroEntradas[[#This Row],[Data do Caixa Previsto]]))</f>
        <v>2017</v>
      </c>
      <c r="O43" s="14" t="str">
        <f>IF(TbRegistroEntradas[[#This Row],[Data da Competência]]=TbRegistroEntradas[[#This Row],[Data do Caixa Previsto]],"Vista","Prazo")</f>
        <v>Vista</v>
      </c>
      <c r="P4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2326</v>
      </c>
      <c r="Q43" s="14" t="str">
        <f ca="1">IF(AND(TbRegistroEntradas[[#This Row],[Data do Caixa Previsto]]&lt;TODAY(),TbRegistroEntradas[[#This Row],[Data do Caixa Realizado]]=""),"Vencida","Não vencida")</f>
        <v>Vencida</v>
      </c>
    </row>
    <row r="44" spans="2:17" x14ac:dyDescent="0.25">
      <c r="B44" s="13">
        <v>43121.095142901788</v>
      </c>
      <c r="C44" s="13">
        <v>43073</v>
      </c>
      <c r="D44" s="13">
        <v>43073</v>
      </c>
      <c r="E44" s="14" t="s">
        <v>0</v>
      </c>
      <c r="F44" s="14" t="s">
        <v>3</v>
      </c>
      <c r="G44" s="14" t="s">
        <v>122</v>
      </c>
      <c r="H44" s="15">
        <v>4073</v>
      </c>
      <c r="I44" s="14">
        <f>IF(TbRegistroEntradas[[#This Row],[Data do Caixa Realizado]]="",0,MONTH(TbRegistroEntradas[[#This Row],[Data do Caixa Realizado]]))</f>
        <v>1</v>
      </c>
      <c r="J44" s="14">
        <f>IF(TbRegistroEntradas[[#This Row],[Data do Caixa Realizado]]="",0,YEAR(TbRegistroEntradas[[#This Row],[Data do Caixa Realizado]]))</f>
        <v>2018</v>
      </c>
      <c r="K44" s="14">
        <f>IF(TbRegistroEntradas[[#This Row],[Data da Competência]]="",0,MONTH(TbRegistroEntradas[[#This Row],[Data da Competência]]))</f>
        <v>12</v>
      </c>
      <c r="L44" s="14">
        <f>IF(TbRegistroEntradas[[#This Row],[Data da Competência]]="",0,YEAR(TbRegistroEntradas[[#This Row],[Data da Competência]]))</f>
        <v>2017</v>
      </c>
      <c r="M44" s="14">
        <f>IF(TbRegistroEntradas[[#This Row],[Data do Caixa Previsto]]="",0,MONTH(TbRegistroEntradas[[#This Row],[Data do Caixa Previsto]]))</f>
        <v>12</v>
      </c>
      <c r="N44" s="14">
        <f>IF(TbRegistroEntradas[[#This Row],[Data do Caixa Previsto]]="",0,YEAR(TbRegistroEntradas[[#This Row],[Data do Caixa Previsto]]))</f>
        <v>2017</v>
      </c>
      <c r="O44" s="14" t="str">
        <f>IF(TbRegistroEntradas[[#This Row],[Data da Competência]]=TbRegistroEntradas[[#This Row],[Data do Caixa Previsto]],"Vista","Prazo")</f>
        <v>Vista</v>
      </c>
      <c r="P4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48.095142901787767</v>
      </c>
      <c r="Q44" s="14" t="str">
        <f ca="1">IF(AND(TbRegistroEntradas[[#This Row],[Data do Caixa Previsto]]&lt;TODAY(),TbRegistroEntradas[[#This Row],[Data do Caixa Realizado]]=""),"Vencida","Não vencida")</f>
        <v>Não vencida</v>
      </c>
    </row>
    <row r="45" spans="2:17" x14ac:dyDescent="0.25">
      <c r="B45" s="13">
        <v>43084.95442532179</v>
      </c>
      <c r="C45" s="13">
        <v>43073</v>
      </c>
      <c r="D45" s="13">
        <v>43073</v>
      </c>
      <c r="E45" s="14" t="s">
        <v>0</v>
      </c>
      <c r="F45" s="14" t="s">
        <v>17</v>
      </c>
      <c r="G45" s="14" t="s">
        <v>123</v>
      </c>
      <c r="H45" s="15">
        <v>3008</v>
      </c>
      <c r="I45" s="14">
        <f>IF(TbRegistroEntradas[[#This Row],[Data do Caixa Realizado]]="",0,MONTH(TbRegistroEntradas[[#This Row],[Data do Caixa Realizado]]))</f>
        <v>12</v>
      </c>
      <c r="J45" s="14">
        <f>IF(TbRegistroEntradas[[#This Row],[Data do Caixa Realizado]]="",0,YEAR(TbRegistroEntradas[[#This Row],[Data do Caixa Realizado]]))</f>
        <v>2017</v>
      </c>
      <c r="K45" s="14">
        <f>IF(TbRegistroEntradas[[#This Row],[Data da Competência]]="",0,MONTH(TbRegistroEntradas[[#This Row],[Data da Competência]]))</f>
        <v>12</v>
      </c>
      <c r="L45" s="14">
        <f>IF(TbRegistroEntradas[[#This Row],[Data da Competência]]="",0,YEAR(TbRegistroEntradas[[#This Row],[Data da Competência]]))</f>
        <v>2017</v>
      </c>
      <c r="M45" s="14">
        <f>IF(TbRegistroEntradas[[#This Row],[Data do Caixa Previsto]]="",0,MONTH(TbRegistroEntradas[[#This Row],[Data do Caixa Previsto]]))</f>
        <v>12</v>
      </c>
      <c r="N45" s="14">
        <f>IF(TbRegistroEntradas[[#This Row],[Data do Caixa Previsto]]="",0,YEAR(TbRegistroEntradas[[#This Row],[Data do Caixa Previsto]]))</f>
        <v>2017</v>
      </c>
      <c r="O45" s="14" t="str">
        <f>IF(TbRegistroEntradas[[#This Row],[Data da Competência]]=TbRegistroEntradas[[#This Row],[Data do Caixa Previsto]],"Vista","Prazo")</f>
        <v>Vista</v>
      </c>
      <c r="P4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11.95442532179004</v>
      </c>
      <c r="Q45" s="14" t="str">
        <f ca="1">IF(AND(TbRegistroEntradas[[#This Row],[Data do Caixa Previsto]]&lt;TODAY(),TbRegistroEntradas[[#This Row],[Data do Caixa Realizado]]=""),"Vencida","Não vencida")</f>
        <v>Não vencida</v>
      </c>
    </row>
    <row r="46" spans="2:17" x14ac:dyDescent="0.25">
      <c r="B46" s="13">
        <v>43131.56407100569</v>
      </c>
      <c r="C46" s="13">
        <v>43080</v>
      </c>
      <c r="D46" s="13">
        <v>43080</v>
      </c>
      <c r="E46" s="14" t="s">
        <v>0</v>
      </c>
      <c r="F46" s="14" t="s">
        <v>17</v>
      </c>
      <c r="G46" s="14" t="s">
        <v>124</v>
      </c>
      <c r="H46" s="15">
        <v>1267</v>
      </c>
      <c r="I46" s="14">
        <f>IF(TbRegistroEntradas[[#This Row],[Data do Caixa Realizado]]="",0,MONTH(TbRegistroEntradas[[#This Row],[Data do Caixa Realizado]]))</f>
        <v>1</v>
      </c>
      <c r="J46" s="14">
        <f>IF(TbRegistroEntradas[[#This Row],[Data do Caixa Realizado]]="",0,YEAR(TbRegistroEntradas[[#This Row],[Data do Caixa Realizado]]))</f>
        <v>2018</v>
      </c>
      <c r="K46" s="14">
        <f>IF(TbRegistroEntradas[[#This Row],[Data da Competência]]="",0,MONTH(TbRegistroEntradas[[#This Row],[Data da Competência]]))</f>
        <v>12</v>
      </c>
      <c r="L46" s="14">
        <f>IF(TbRegistroEntradas[[#This Row],[Data da Competência]]="",0,YEAR(TbRegistroEntradas[[#This Row],[Data da Competência]]))</f>
        <v>2017</v>
      </c>
      <c r="M46" s="14">
        <f>IF(TbRegistroEntradas[[#This Row],[Data do Caixa Previsto]]="",0,MONTH(TbRegistroEntradas[[#This Row],[Data do Caixa Previsto]]))</f>
        <v>12</v>
      </c>
      <c r="N46" s="14">
        <f>IF(TbRegistroEntradas[[#This Row],[Data do Caixa Previsto]]="",0,YEAR(TbRegistroEntradas[[#This Row],[Data do Caixa Previsto]]))</f>
        <v>2017</v>
      </c>
      <c r="O46" s="14" t="str">
        <f>IF(TbRegistroEntradas[[#This Row],[Data da Competência]]=TbRegistroEntradas[[#This Row],[Data do Caixa Previsto]],"Vista","Prazo")</f>
        <v>Vista</v>
      </c>
      <c r="P4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51.564071005690494</v>
      </c>
      <c r="Q46" s="14" t="str">
        <f ca="1">IF(AND(TbRegistroEntradas[[#This Row],[Data do Caixa Previsto]]&lt;TODAY(),TbRegistroEntradas[[#This Row],[Data do Caixa Realizado]]=""),"Vencida","Não vencida")</f>
        <v>Não vencida</v>
      </c>
    </row>
    <row r="47" spans="2:17" x14ac:dyDescent="0.25">
      <c r="B47" s="13">
        <v>43103.027346399656</v>
      </c>
      <c r="C47" s="13">
        <v>43082</v>
      </c>
      <c r="D47" s="13">
        <v>43103.027346399656</v>
      </c>
      <c r="E47" s="14" t="s">
        <v>0</v>
      </c>
      <c r="F47" s="14" t="s">
        <v>17</v>
      </c>
      <c r="G47" s="14" t="s">
        <v>125</v>
      </c>
      <c r="H47" s="15">
        <v>284</v>
      </c>
      <c r="I47" s="14">
        <f>IF(TbRegistroEntradas[[#This Row],[Data do Caixa Realizado]]="",0,MONTH(TbRegistroEntradas[[#This Row],[Data do Caixa Realizado]]))</f>
        <v>1</v>
      </c>
      <c r="J47" s="14">
        <f>IF(TbRegistroEntradas[[#This Row],[Data do Caixa Realizado]]="",0,YEAR(TbRegistroEntradas[[#This Row],[Data do Caixa Realizado]]))</f>
        <v>2018</v>
      </c>
      <c r="K47" s="14">
        <f>IF(TbRegistroEntradas[[#This Row],[Data da Competência]]="",0,MONTH(TbRegistroEntradas[[#This Row],[Data da Competência]]))</f>
        <v>12</v>
      </c>
      <c r="L47" s="14">
        <f>IF(TbRegistroEntradas[[#This Row],[Data da Competência]]="",0,YEAR(TbRegistroEntradas[[#This Row],[Data da Competência]]))</f>
        <v>2017</v>
      </c>
      <c r="M47" s="14">
        <f>IF(TbRegistroEntradas[[#This Row],[Data do Caixa Previsto]]="",0,MONTH(TbRegistroEntradas[[#This Row],[Data do Caixa Previsto]]))</f>
        <v>1</v>
      </c>
      <c r="N47" s="14">
        <f>IF(TbRegistroEntradas[[#This Row],[Data do Caixa Previsto]]="",0,YEAR(TbRegistroEntradas[[#This Row],[Data do Caixa Previsto]]))</f>
        <v>2018</v>
      </c>
      <c r="O47" s="14" t="str">
        <f>IF(TbRegistroEntradas[[#This Row],[Data da Competência]]=TbRegistroEntradas[[#This Row],[Data do Caixa Previsto]],"Vista","Prazo")</f>
        <v>Prazo</v>
      </c>
      <c r="P4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47" s="14" t="str">
        <f ca="1">IF(AND(TbRegistroEntradas[[#This Row],[Data do Caixa Previsto]]&lt;TODAY(),TbRegistroEntradas[[#This Row],[Data do Caixa Realizado]]=""),"Vencida","Não vencida")</f>
        <v>Não vencida</v>
      </c>
    </row>
    <row r="48" spans="2:17" x14ac:dyDescent="0.25">
      <c r="B48" s="13">
        <v>43086.779201496618</v>
      </c>
      <c r="C48" s="13">
        <v>43083</v>
      </c>
      <c r="D48" s="13">
        <v>43086.779201496618</v>
      </c>
      <c r="E48" s="14" t="s">
        <v>0</v>
      </c>
      <c r="F48" s="14" t="s">
        <v>24</v>
      </c>
      <c r="G48" s="14" t="s">
        <v>126</v>
      </c>
      <c r="H48" s="15">
        <v>2046</v>
      </c>
      <c r="I48" s="14">
        <f>IF(TbRegistroEntradas[[#This Row],[Data do Caixa Realizado]]="",0,MONTH(TbRegistroEntradas[[#This Row],[Data do Caixa Realizado]]))</f>
        <v>12</v>
      </c>
      <c r="J48" s="14">
        <f>IF(TbRegistroEntradas[[#This Row],[Data do Caixa Realizado]]="",0,YEAR(TbRegistroEntradas[[#This Row],[Data do Caixa Realizado]]))</f>
        <v>2017</v>
      </c>
      <c r="K48" s="14">
        <f>IF(TbRegistroEntradas[[#This Row],[Data da Competência]]="",0,MONTH(TbRegistroEntradas[[#This Row],[Data da Competência]]))</f>
        <v>12</v>
      </c>
      <c r="L48" s="14">
        <f>IF(TbRegistroEntradas[[#This Row],[Data da Competência]]="",0,YEAR(TbRegistroEntradas[[#This Row],[Data da Competência]]))</f>
        <v>2017</v>
      </c>
      <c r="M48" s="14">
        <f>IF(TbRegistroEntradas[[#This Row],[Data do Caixa Previsto]]="",0,MONTH(TbRegistroEntradas[[#This Row],[Data do Caixa Previsto]]))</f>
        <v>12</v>
      </c>
      <c r="N48" s="14">
        <f>IF(TbRegistroEntradas[[#This Row],[Data do Caixa Previsto]]="",0,YEAR(TbRegistroEntradas[[#This Row],[Data do Caixa Previsto]]))</f>
        <v>2017</v>
      </c>
      <c r="O48" s="14" t="str">
        <f>IF(TbRegistroEntradas[[#This Row],[Data da Competência]]=TbRegistroEntradas[[#This Row],[Data do Caixa Previsto]],"Vista","Prazo")</f>
        <v>Prazo</v>
      </c>
      <c r="P4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48" s="14" t="str">
        <f ca="1">IF(AND(TbRegistroEntradas[[#This Row],[Data do Caixa Previsto]]&lt;TODAY(),TbRegistroEntradas[[#This Row],[Data do Caixa Realizado]]=""),"Vencida","Não vencida")</f>
        <v>Não vencida</v>
      </c>
    </row>
    <row r="49" spans="2:17" x14ac:dyDescent="0.25">
      <c r="B49" s="13">
        <v>43135.384353482346</v>
      </c>
      <c r="C49" s="13">
        <v>43085</v>
      </c>
      <c r="D49" s="13">
        <v>43122.788615114718</v>
      </c>
      <c r="E49" s="14" t="s">
        <v>0</v>
      </c>
      <c r="F49" s="14" t="s">
        <v>3</v>
      </c>
      <c r="G49" s="14" t="s">
        <v>127</v>
      </c>
      <c r="H49" s="15">
        <v>3880</v>
      </c>
      <c r="I49" s="14">
        <f>IF(TbRegistroEntradas[[#This Row],[Data do Caixa Realizado]]="",0,MONTH(TbRegistroEntradas[[#This Row],[Data do Caixa Realizado]]))</f>
        <v>2</v>
      </c>
      <c r="J49" s="14">
        <f>IF(TbRegistroEntradas[[#This Row],[Data do Caixa Realizado]]="",0,YEAR(TbRegistroEntradas[[#This Row],[Data do Caixa Realizado]]))</f>
        <v>2018</v>
      </c>
      <c r="K49" s="14">
        <f>IF(TbRegistroEntradas[[#This Row],[Data da Competência]]="",0,MONTH(TbRegistroEntradas[[#This Row],[Data da Competência]]))</f>
        <v>12</v>
      </c>
      <c r="L49" s="14">
        <f>IF(TbRegistroEntradas[[#This Row],[Data da Competência]]="",0,YEAR(TbRegistroEntradas[[#This Row],[Data da Competência]]))</f>
        <v>2017</v>
      </c>
      <c r="M49" s="14">
        <f>IF(TbRegistroEntradas[[#This Row],[Data do Caixa Previsto]]="",0,MONTH(TbRegistroEntradas[[#This Row],[Data do Caixa Previsto]]))</f>
        <v>1</v>
      </c>
      <c r="N49" s="14">
        <f>IF(TbRegistroEntradas[[#This Row],[Data do Caixa Previsto]]="",0,YEAR(TbRegistroEntradas[[#This Row],[Data do Caixa Previsto]]))</f>
        <v>2018</v>
      </c>
      <c r="O49" s="14" t="str">
        <f>IF(TbRegistroEntradas[[#This Row],[Data da Competência]]=TbRegistroEntradas[[#This Row],[Data do Caixa Previsto]],"Vista","Prazo")</f>
        <v>Prazo</v>
      </c>
      <c r="P4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12.595738367628655</v>
      </c>
      <c r="Q49" s="14" t="str">
        <f ca="1">IF(AND(TbRegistroEntradas[[#This Row],[Data do Caixa Previsto]]&lt;TODAY(),TbRegistroEntradas[[#This Row],[Data do Caixa Realizado]]=""),"Vencida","Não vencida")</f>
        <v>Não vencida</v>
      </c>
    </row>
    <row r="50" spans="2:17" x14ac:dyDescent="0.25">
      <c r="B50" s="13">
        <v>43123.054998054176</v>
      </c>
      <c r="C50" s="13">
        <v>43086</v>
      </c>
      <c r="D50" s="13">
        <v>43123.054998054176</v>
      </c>
      <c r="E50" s="14" t="s">
        <v>0</v>
      </c>
      <c r="F50" s="14" t="s">
        <v>3</v>
      </c>
      <c r="G50" s="14" t="s">
        <v>128</v>
      </c>
      <c r="H50" s="15">
        <v>3149</v>
      </c>
      <c r="I50" s="14">
        <f>IF(TbRegistroEntradas[[#This Row],[Data do Caixa Realizado]]="",0,MONTH(TbRegistroEntradas[[#This Row],[Data do Caixa Realizado]]))</f>
        <v>1</v>
      </c>
      <c r="J50" s="14">
        <f>IF(TbRegistroEntradas[[#This Row],[Data do Caixa Realizado]]="",0,YEAR(TbRegistroEntradas[[#This Row],[Data do Caixa Realizado]]))</f>
        <v>2018</v>
      </c>
      <c r="K50" s="14">
        <f>IF(TbRegistroEntradas[[#This Row],[Data da Competência]]="",0,MONTH(TbRegistroEntradas[[#This Row],[Data da Competência]]))</f>
        <v>12</v>
      </c>
      <c r="L50" s="14">
        <f>IF(TbRegistroEntradas[[#This Row],[Data da Competência]]="",0,YEAR(TbRegistroEntradas[[#This Row],[Data da Competência]]))</f>
        <v>2017</v>
      </c>
      <c r="M50" s="14">
        <f>IF(TbRegistroEntradas[[#This Row],[Data do Caixa Previsto]]="",0,MONTH(TbRegistroEntradas[[#This Row],[Data do Caixa Previsto]]))</f>
        <v>1</v>
      </c>
      <c r="N50" s="14">
        <f>IF(TbRegistroEntradas[[#This Row],[Data do Caixa Previsto]]="",0,YEAR(TbRegistroEntradas[[#This Row],[Data do Caixa Previsto]]))</f>
        <v>2018</v>
      </c>
      <c r="O50" s="14" t="str">
        <f>IF(TbRegistroEntradas[[#This Row],[Data da Competência]]=TbRegistroEntradas[[#This Row],[Data do Caixa Previsto]],"Vista","Prazo")</f>
        <v>Prazo</v>
      </c>
      <c r="P5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0" s="14" t="str">
        <f ca="1">IF(AND(TbRegistroEntradas[[#This Row],[Data do Caixa Previsto]]&lt;TODAY(),TbRegistroEntradas[[#This Row],[Data do Caixa Realizado]]=""),"Vencida","Não vencida")</f>
        <v>Não vencida</v>
      </c>
    </row>
    <row r="51" spans="2:17" x14ac:dyDescent="0.25">
      <c r="B51" s="13">
        <v>43125.461755740398</v>
      </c>
      <c r="C51" s="13">
        <v>43088</v>
      </c>
      <c r="D51" s="13">
        <v>43125.461755740398</v>
      </c>
      <c r="E51" s="14" t="s">
        <v>0</v>
      </c>
      <c r="F51" s="14" t="s">
        <v>24</v>
      </c>
      <c r="G51" s="14" t="s">
        <v>129</v>
      </c>
      <c r="H51" s="15">
        <v>668</v>
      </c>
      <c r="I51" s="14">
        <f>IF(TbRegistroEntradas[[#This Row],[Data do Caixa Realizado]]="",0,MONTH(TbRegistroEntradas[[#This Row],[Data do Caixa Realizado]]))</f>
        <v>1</v>
      </c>
      <c r="J51" s="14">
        <f>IF(TbRegistroEntradas[[#This Row],[Data do Caixa Realizado]]="",0,YEAR(TbRegistroEntradas[[#This Row],[Data do Caixa Realizado]]))</f>
        <v>2018</v>
      </c>
      <c r="K51" s="14">
        <f>IF(TbRegistroEntradas[[#This Row],[Data da Competência]]="",0,MONTH(TbRegistroEntradas[[#This Row],[Data da Competência]]))</f>
        <v>12</v>
      </c>
      <c r="L51" s="14">
        <f>IF(TbRegistroEntradas[[#This Row],[Data da Competência]]="",0,YEAR(TbRegistroEntradas[[#This Row],[Data da Competência]]))</f>
        <v>2017</v>
      </c>
      <c r="M51" s="14">
        <f>IF(TbRegistroEntradas[[#This Row],[Data do Caixa Previsto]]="",0,MONTH(TbRegistroEntradas[[#This Row],[Data do Caixa Previsto]]))</f>
        <v>1</v>
      </c>
      <c r="N51" s="14">
        <f>IF(TbRegistroEntradas[[#This Row],[Data do Caixa Previsto]]="",0,YEAR(TbRegistroEntradas[[#This Row],[Data do Caixa Previsto]]))</f>
        <v>2018</v>
      </c>
      <c r="O51" s="14" t="str">
        <f>IF(TbRegistroEntradas[[#This Row],[Data da Competência]]=TbRegistroEntradas[[#This Row],[Data do Caixa Previsto]],"Vista","Prazo")</f>
        <v>Prazo</v>
      </c>
      <c r="P5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1" s="14" t="str">
        <f ca="1">IF(AND(TbRegistroEntradas[[#This Row],[Data do Caixa Previsto]]&lt;TODAY(),TbRegistroEntradas[[#This Row],[Data do Caixa Realizado]]=""),"Vencida","Não vencida")</f>
        <v>Não vencida</v>
      </c>
    </row>
    <row r="52" spans="2:17" x14ac:dyDescent="0.25">
      <c r="B52" s="13">
        <v>43117.265187618672</v>
      </c>
      <c r="C52" s="13">
        <v>43089</v>
      </c>
      <c r="D52" s="13">
        <v>43089</v>
      </c>
      <c r="E52" s="14" t="s">
        <v>0</v>
      </c>
      <c r="F52" s="14" t="s">
        <v>49</v>
      </c>
      <c r="G52" s="14" t="s">
        <v>130</v>
      </c>
      <c r="H52" s="15">
        <v>3721</v>
      </c>
      <c r="I52" s="14">
        <f>IF(TbRegistroEntradas[[#This Row],[Data do Caixa Realizado]]="",0,MONTH(TbRegistroEntradas[[#This Row],[Data do Caixa Realizado]]))</f>
        <v>1</v>
      </c>
      <c r="J52" s="14">
        <f>IF(TbRegistroEntradas[[#This Row],[Data do Caixa Realizado]]="",0,YEAR(TbRegistroEntradas[[#This Row],[Data do Caixa Realizado]]))</f>
        <v>2018</v>
      </c>
      <c r="K52" s="14">
        <f>IF(TbRegistroEntradas[[#This Row],[Data da Competência]]="",0,MONTH(TbRegistroEntradas[[#This Row],[Data da Competência]]))</f>
        <v>12</v>
      </c>
      <c r="L52" s="14">
        <f>IF(TbRegistroEntradas[[#This Row],[Data da Competência]]="",0,YEAR(TbRegistroEntradas[[#This Row],[Data da Competência]]))</f>
        <v>2017</v>
      </c>
      <c r="M52" s="14">
        <f>IF(TbRegistroEntradas[[#This Row],[Data do Caixa Previsto]]="",0,MONTH(TbRegistroEntradas[[#This Row],[Data do Caixa Previsto]]))</f>
        <v>12</v>
      </c>
      <c r="N52" s="14">
        <f>IF(TbRegistroEntradas[[#This Row],[Data do Caixa Previsto]]="",0,YEAR(TbRegistroEntradas[[#This Row],[Data do Caixa Previsto]]))</f>
        <v>2017</v>
      </c>
      <c r="O52" s="14" t="str">
        <f>IF(TbRegistroEntradas[[#This Row],[Data da Competência]]=TbRegistroEntradas[[#This Row],[Data do Caixa Previsto]],"Vista","Prazo")</f>
        <v>Vista</v>
      </c>
      <c r="P5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28.265187618671916</v>
      </c>
      <c r="Q52" s="14" t="str">
        <f ca="1">IF(AND(TbRegistroEntradas[[#This Row],[Data do Caixa Previsto]]&lt;TODAY(),TbRegistroEntradas[[#This Row],[Data do Caixa Realizado]]=""),"Vencida","Não vencida")</f>
        <v>Não vencida</v>
      </c>
    </row>
    <row r="53" spans="2:17" x14ac:dyDescent="0.25">
      <c r="B53" s="13">
        <v>43222.826071389798</v>
      </c>
      <c r="C53" s="13">
        <v>43091</v>
      </c>
      <c r="D53" s="13">
        <v>43133.821281134544</v>
      </c>
      <c r="E53" s="14" t="s">
        <v>0</v>
      </c>
      <c r="F53" s="14" t="s">
        <v>3</v>
      </c>
      <c r="G53" s="14" t="s">
        <v>131</v>
      </c>
      <c r="H53" s="15">
        <v>3114</v>
      </c>
      <c r="I53" s="14">
        <f>IF(TbRegistroEntradas[[#This Row],[Data do Caixa Realizado]]="",0,MONTH(TbRegistroEntradas[[#This Row],[Data do Caixa Realizado]]))</f>
        <v>5</v>
      </c>
      <c r="J53" s="14">
        <f>IF(TbRegistroEntradas[[#This Row],[Data do Caixa Realizado]]="",0,YEAR(TbRegistroEntradas[[#This Row],[Data do Caixa Realizado]]))</f>
        <v>2018</v>
      </c>
      <c r="K53" s="14">
        <f>IF(TbRegistroEntradas[[#This Row],[Data da Competência]]="",0,MONTH(TbRegistroEntradas[[#This Row],[Data da Competência]]))</f>
        <v>12</v>
      </c>
      <c r="L53" s="14">
        <f>IF(TbRegistroEntradas[[#This Row],[Data da Competência]]="",0,YEAR(TbRegistroEntradas[[#This Row],[Data da Competência]]))</f>
        <v>2017</v>
      </c>
      <c r="M53" s="14">
        <f>IF(TbRegistroEntradas[[#This Row],[Data do Caixa Previsto]]="",0,MONTH(TbRegistroEntradas[[#This Row],[Data do Caixa Previsto]]))</f>
        <v>2</v>
      </c>
      <c r="N53" s="14">
        <f>IF(TbRegistroEntradas[[#This Row],[Data do Caixa Previsto]]="",0,YEAR(TbRegistroEntradas[[#This Row],[Data do Caixa Previsto]]))</f>
        <v>2018</v>
      </c>
      <c r="O53" s="14" t="str">
        <f>IF(TbRegistroEntradas[[#This Row],[Data da Competência]]=TbRegistroEntradas[[#This Row],[Data do Caixa Previsto]],"Vista","Prazo")</f>
        <v>Prazo</v>
      </c>
      <c r="P5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89.004790255254193</v>
      </c>
      <c r="Q53" s="14" t="str">
        <f ca="1">IF(AND(TbRegistroEntradas[[#This Row],[Data do Caixa Previsto]]&lt;TODAY(),TbRegistroEntradas[[#This Row],[Data do Caixa Realizado]]=""),"Vencida","Não vencida")</f>
        <v>Não vencida</v>
      </c>
    </row>
    <row r="54" spans="2:17" x14ac:dyDescent="0.25">
      <c r="B54" s="13">
        <v>43171.526334246679</v>
      </c>
      <c r="C54" s="13">
        <v>43095</v>
      </c>
      <c r="D54" s="13">
        <v>43095</v>
      </c>
      <c r="E54" s="14" t="s">
        <v>0</v>
      </c>
      <c r="F54" s="14" t="s">
        <v>24</v>
      </c>
      <c r="G54" s="14" t="s">
        <v>132</v>
      </c>
      <c r="H54" s="15">
        <v>1436</v>
      </c>
      <c r="I54" s="14">
        <f>IF(TbRegistroEntradas[[#This Row],[Data do Caixa Realizado]]="",0,MONTH(TbRegistroEntradas[[#This Row],[Data do Caixa Realizado]]))</f>
        <v>3</v>
      </c>
      <c r="J54" s="14">
        <f>IF(TbRegistroEntradas[[#This Row],[Data do Caixa Realizado]]="",0,YEAR(TbRegistroEntradas[[#This Row],[Data do Caixa Realizado]]))</f>
        <v>2018</v>
      </c>
      <c r="K54" s="14">
        <f>IF(TbRegistroEntradas[[#This Row],[Data da Competência]]="",0,MONTH(TbRegistroEntradas[[#This Row],[Data da Competência]]))</f>
        <v>12</v>
      </c>
      <c r="L54" s="14">
        <f>IF(TbRegistroEntradas[[#This Row],[Data da Competência]]="",0,YEAR(TbRegistroEntradas[[#This Row],[Data da Competência]]))</f>
        <v>2017</v>
      </c>
      <c r="M54" s="14">
        <f>IF(TbRegistroEntradas[[#This Row],[Data do Caixa Previsto]]="",0,MONTH(TbRegistroEntradas[[#This Row],[Data do Caixa Previsto]]))</f>
        <v>12</v>
      </c>
      <c r="N54" s="14">
        <f>IF(TbRegistroEntradas[[#This Row],[Data do Caixa Previsto]]="",0,YEAR(TbRegistroEntradas[[#This Row],[Data do Caixa Previsto]]))</f>
        <v>2017</v>
      </c>
      <c r="O54" s="14" t="str">
        <f>IF(TbRegistroEntradas[[#This Row],[Data da Competência]]=TbRegistroEntradas[[#This Row],[Data do Caixa Previsto]],"Vista","Prazo")</f>
        <v>Vista</v>
      </c>
      <c r="P5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76.526334246678744</v>
      </c>
      <c r="Q54" s="14" t="str">
        <f ca="1">IF(AND(TbRegistroEntradas[[#This Row],[Data do Caixa Previsto]]&lt;TODAY(),TbRegistroEntradas[[#This Row],[Data do Caixa Realizado]]=""),"Vencida","Não vencida")</f>
        <v>Não vencida</v>
      </c>
    </row>
    <row r="55" spans="2:17" x14ac:dyDescent="0.25">
      <c r="B55" s="13">
        <v>43101.6816504218</v>
      </c>
      <c r="C55" s="13">
        <v>43099</v>
      </c>
      <c r="D55" s="13">
        <v>43101.6816504218</v>
      </c>
      <c r="E55" s="14" t="s">
        <v>0</v>
      </c>
      <c r="F55" s="14" t="s">
        <v>24</v>
      </c>
      <c r="G55" s="14" t="s">
        <v>133</v>
      </c>
      <c r="H55" s="15">
        <v>3192</v>
      </c>
      <c r="I55" s="14">
        <f>IF(TbRegistroEntradas[[#This Row],[Data do Caixa Realizado]]="",0,MONTH(TbRegistroEntradas[[#This Row],[Data do Caixa Realizado]]))</f>
        <v>1</v>
      </c>
      <c r="J55" s="14">
        <f>IF(TbRegistroEntradas[[#This Row],[Data do Caixa Realizado]]="",0,YEAR(TbRegistroEntradas[[#This Row],[Data do Caixa Realizado]]))</f>
        <v>2018</v>
      </c>
      <c r="K55" s="14">
        <f>IF(TbRegistroEntradas[[#This Row],[Data da Competência]]="",0,MONTH(TbRegistroEntradas[[#This Row],[Data da Competência]]))</f>
        <v>12</v>
      </c>
      <c r="L55" s="14">
        <f>IF(TbRegistroEntradas[[#This Row],[Data da Competência]]="",0,YEAR(TbRegistroEntradas[[#This Row],[Data da Competência]]))</f>
        <v>2017</v>
      </c>
      <c r="M55" s="14">
        <f>IF(TbRegistroEntradas[[#This Row],[Data do Caixa Previsto]]="",0,MONTH(TbRegistroEntradas[[#This Row],[Data do Caixa Previsto]]))</f>
        <v>1</v>
      </c>
      <c r="N55" s="14">
        <f>IF(TbRegistroEntradas[[#This Row],[Data do Caixa Previsto]]="",0,YEAR(TbRegistroEntradas[[#This Row],[Data do Caixa Previsto]]))</f>
        <v>2018</v>
      </c>
      <c r="O55" s="14" t="str">
        <f>IF(TbRegistroEntradas[[#This Row],[Data da Competência]]=TbRegistroEntradas[[#This Row],[Data do Caixa Previsto]],"Vista","Prazo")</f>
        <v>Prazo</v>
      </c>
      <c r="P5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5" s="14" t="str">
        <f ca="1">IF(AND(TbRegistroEntradas[[#This Row],[Data do Caixa Previsto]]&lt;TODAY(),TbRegistroEntradas[[#This Row],[Data do Caixa Realizado]]=""),"Vencida","Não vencida")</f>
        <v>Não vencida</v>
      </c>
    </row>
    <row r="56" spans="2:17" x14ac:dyDescent="0.25">
      <c r="B56" s="13">
        <v>43144.070709460881</v>
      </c>
      <c r="C56" s="13">
        <v>43100</v>
      </c>
      <c r="D56" s="13">
        <v>43144.070709460881</v>
      </c>
      <c r="E56" s="14" t="s">
        <v>0</v>
      </c>
      <c r="F56" s="14" t="s">
        <v>49</v>
      </c>
      <c r="G56" s="14" t="s">
        <v>134</v>
      </c>
      <c r="H56" s="15">
        <v>2687</v>
      </c>
      <c r="I56" s="14">
        <f>IF(TbRegistroEntradas[[#This Row],[Data do Caixa Realizado]]="",0,MONTH(TbRegistroEntradas[[#This Row],[Data do Caixa Realizado]]))</f>
        <v>2</v>
      </c>
      <c r="J56" s="14">
        <f>IF(TbRegistroEntradas[[#This Row],[Data do Caixa Realizado]]="",0,YEAR(TbRegistroEntradas[[#This Row],[Data do Caixa Realizado]]))</f>
        <v>2018</v>
      </c>
      <c r="K56" s="14">
        <f>IF(TbRegistroEntradas[[#This Row],[Data da Competência]]="",0,MONTH(TbRegistroEntradas[[#This Row],[Data da Competência]]))</f>
        <v>12</v>
      </c>
      <c r="L56" s="14">
        <f>IF(TbRegistroEntradas[[#This Row],[Data da Competência]]="",0,YEAR(TbRegistroEntradas[[#This Row],[Data da Competência]]))</f>
        <v>2017</v>
      </c>
      <c r="M56" s="14">
        <f>IF(TbRegistroEntradas[[#This Row],[Data do Caixa Previsto]]="",0,MONTH(TbRegistroEntradas[[#This Row],[Data do Caixa Previsto]]))</f>
        <v>2</v>
      </c>
      <c r="N56" s="14">
        <f>IF(TbRegistroEntradas[[#This Row],[Data do Caixa Previsto]]="",0,YEAR(TbRegistroEntradas[[#This Row],[Data do Caixa Previsto]]))</f>
        <v>2018</v>
      </c>
      <c r="O56" s="14" t="str">
        <f>IF(TbRegistroEntradas[[#This Row],[Data da Competência]]=TbRegistroEntradas[[#This Row],[Data do Caixa Previsto]],"Vista","Prazo")</f>
        <v>Prazo</v>
      </c>
      <c r="P5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6" s="14" t="str">
        <f ca="1">IF(AND(TbRegistroEntradas[[#This Row],[Data do Caixa Previsto]]&lt;TODAY(),TbRegistroEntradas[[#This Row],[Data do Caixa Realizado]]=""),"Vencida","Não vencida")</f>
        <v>Não vencida</v>
      </c>
    </row>
    <row r="57" spans="2:17" x14ac:dyDescent="0.25">
      <c r="B57" s="13">
        <v>43159.768399969107</v>
      </c>
      <c r="C57" s="13">
        <v>43103</v>
      </c>
      <c r="D57" s="13">
        <v>43159.768399969107</v>
      </c>
      <c r="E57" s="14" t="s">
        <v>0</v>
      </c>
      <c r="F57" s="14" t="s">
        <v>24</v>
      </c>
      <c r="G57" s="14" t="s">
        <v>135</v>
      </c>
      <c r="H57" s="15">
        <v>1561</v>
      </c>
      <c r="I57" s="14">
        <f>IF(TbRegistroEntradas[[#This Row],[Data do Caixa Realizado]]="",0,MONTH(TbRegistroEntradas[[#This Row],[Data do Caixa Realizado]]))</f>
        <v>2</v>
      </c>
      <c r="J57" s="14">
        <f>IF(TbRegistroEntradas[[#This Row],[Data do Caixa Realizado]]="",0,YEAR(TbRegistroEntradas[[#This Row],[Data do Caixa Realizado]]))</f>
        <v>2018</v>
      </c>
      <c r="K57" s="14">
        <f>IF(TbRegistroEntradas[[#This Row],[Data da Competência]]="",0,MONTH(TbRegistroEntradas[[#This Row],[Data da Competência]]))</f>
        <v>1</v>
      </c>
      <c r="L57" s="14">
        <f>IF(TbRegistroEntradas[[#This Row],[Data da Competência]]="",0,YEAR(TbRegistroEntradas[[#This Row],[Data da Competência]]))</f>
        <v>2018</v>
      </c>
      <c r="M57" s="14">
        <f>IF(TbRegistroEntradas[[#This Row],[Data do Caixa Previsto]]="",0,MONTH(TbRegistroEntradas[[#This Row],[Data do Caixa Previsto]]))</f>
        <v>2</v>
      </c>
      <c r="N57" s="14">
        <f>IF(TbRegistroEntradas[[#This Row],[Data do Caixa Previsto]]="",0,YEAR(TbRegistroEntradas[[#This Row],[Data do Caixa Previsto]]))</f>
        <v>2018</v>
      </c>
      <c r="O57" s="14" t="str">
        <f>IF(TbRegistroEntradas[[#This Row],[Data da Competência]]=TbRegistroEntradas[[#This Row],[Data do Caixa Previsto]],"Vista","Prazo")</f>
        <v>Prazo</v>
      </c>
      <c r="P5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7" s="14" t="str">
        <f ca="1">IF(AND(TbRegistroEntradas[[#This Row],[Data do Caixa Previsto]]&lt;TODAY(),TbRegistroEntradas[[#This Row],[Data do Caixa Realizado]]=""),"Vencida","Não vencida")</f>
        <v>Não vencida</v>
      </c>
    </row>
    <row r="58" spans="2:17" x14ac:dyDescent="0.25">
      <c r="B58" s="13">
        <v>43113.535870555577</v>
      </c>
      <c r="C58" s="13">
        <v>43109</v>
      </c>
      <c r="D58" s="13">
        <v>43113.535870555577</v>
      </c>
      <c r="E58" s="14" t="s">
        <v>0</v>
      </c>
      <c r="F58" s="14" t="s">
        <v>24</v>
      </c>
      <c r="G58" s="14" t="s">
        <v>136</v>
      </c>
      <c r="H58" s="15">
        <v>1573</v>
      </c>
      <c r="I58" s="14">
        <f>IF(TbRegistroEntradas[[#This Row],[Data do Caixa Realizado]]="",0,MONTH(TbRegistroEntradas[[#This Row],[Data do Caixa Realizado]]))</f>
        <v>1</v>
      </c>
      <c r="J58" s="14">
        <f>IF(TbRegistroEntradas[[#This Row],[Data do Caixa Realizado]]="",0,YEAR(TbRegistroEntradas[[#This Row],[Data do Caixa Realizado]]))</f>
        <v>2018</v>
      </c>
      <c r="K58" s="14">
        <f>IF(TbRegistroEntradas[[#This Row],[Data da Competência]]="",0,MONTH(TbRegistroEntradas[[#This Row],[Data da Competência]]))</f>
        <v>1</v>
      </c>
      <c r="L58" s="14">
        <f>IF(TbRegistroEntradas[[#This Row],[Data da Competência]]="",0,YEAR(TbRegistroEntradas[[#This Row],[Data da Competência]]))</f>
        <v>2018</v>
      </c>
      <c r="M58" s="14">
        <f>IF(TbRegistroEntradas[[#This Row],[Data do Caixa Previsto]]="",0,MONTH(TbRegistroEntradas[[#This Row],[Data do Caixa Previsto]]))</f>
        <v>1</v>
      </c>
      <c r="N58" s="14">
        <f>IF(TbRegistroEntradas[[#This Row],[Data do Caixa Previsto]]="",0,YEAR(TbRegistroEntradas[[#This Row],[Data do Caixa Previsto]]))</f>
        <v>2018</v>
      </c>
      <c r="O58" s="14" t="str">
        <f>IF(TbRegistroEntradas[[#This Row],[Data da Competência]]=TbRegistroEntradas[[#This Row],[Data do Caixa Previsto]],"Vista","Prazo")</f>
        <v>Prazo</v>
      </c>
      <c r="P5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8" s="14" t="str">
        <f ca="1">IF(AND(TbRegistroEntradas[[#This Row],[Data do Caixa Previsto]]&lt;TODAY(),TbRegistroEntradas[[#This Row],[Data do Caixa Realizado]]=""),"Vencida","Não vencida")</f>
        <v>Não vencida</v>
      </c>
    </row>
    <row r="59" spans="2:17" x14ac:dyDescent="0.25">
      <c r="B59" s="13">
        <v>43147.636765206888</v>
      </c>
      <c r="C59" s="13">
        <v>43117</v>
      </c>
      <c r="D59" s="13">
        <v>43117</v>
      </c>
      <c r="E59" s="14" t="s">
        <v>0</v>
      </c>
      <c r="F59" s="14" t="s">
        <v>24</v>
      </c>
      <c r="G59" s="14" t="s">
        <v>137</v>
      </c>
      <c r="H59" s="15">
        <v>1364</v>
      </c>
      <c r="I59" s="14">
        <f>IF(TbRegistroEntradas[[#This Row],[Data do Caixa Realizado]]="",0,MONTH(TbRegistroEntradas[[#This Row],[Data do Caixa Realizado]]))</f>
        <v>2</v>
      </c>
      <c r="J59" s="14">
        <f>IF(TbRegistroEntradas[[#This Row],[Data do Caixa Realizado]]="",0,YEAR(TbRegistroEntradas[[#This Row],[Data do Caixa Realizado]]))</f>
        <v>2018</v>
      </c>
      <c r="K59" s="14">
        <f>IF(TbRegistroEntradas[[#This Row],[Data da Competência]]="",0,MONTH(TbRegistroEntradas[[#This Row],[Data da Competência]]))</f>
        <v>1</v>
      </c>
      <c r="L59" s="14">
        <f>IF(TbRegistroEntradas[[#This Row],[Data da Competência]]="",0,YEAR(TbRegistroEntradas[[#This Row],[Data da Competência]]))</f>
        <v>2018</v>
      </c>
      <c r="M59" s="14">
        <f>IF(TbRegistroEntradas[[#This Row],[Data do Caixa Previsto]]="",0,MONTH(TbRegistroEntradas[[#This Row],[Data do Caixa Previsto]]))</f>
        <v>1</v>
      </c>
      <c r="N59" s="14">
        <f>IF(TbRegistroEntradas[[#This Row],[Data do Caixa Previsto]]="",0,YEAR(TbRegistroEntradas[[#This Row],[Data do Caixa Previsto]]))</f>
        <v>2018</v>
      </c>
      <c r="O59" s="14" t="str">
        <f>IF(TbRegistroEntradas[[#This Row],[Data da Competência]]=TbRegistroEntradas[[#This Row],[Data do Caixa Previsto]],"Vista","Prazo")</f>
        <v>Vista</v>
      </c>
      <c r="P5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30.636765206887503</v>
      </c>
      <c r="Q59" s="14" t="str">
        <f ca="1">IF(AND(TbRegistroEntradas[[#This Row],[Data do Caixa Previsto]]&lt;TODAY(),TbRegistroEntradas[[#This Row],[Data do Caixa Realizado]]=""),"Vencida","Não vencida")</f>
        <v>Não vencida</v>
      </c>
    </row>
    <row r="60" spans="2:17" x14ac:dyDescent="0.25">
      <c r="B60" s="13">
        <v>43166.506331380886</v>
      </c>
      <c r="C60" s="13">
        <v>43121</v>
      </c>
      <c r="D60" s="13">
        <v>43166.506331380886</v>
      </c>
      <c r="E60" s="14" t="s">
        <v>0</v>
      </c>
      <c r="F60" s="14" t="s">
        <v>49</v>
      </c>
      <c r="G60" s="14" t="s">
        <v>138</v>
      </c>
      <c r="H60" s="15">
        <v>783</v>
      </c>
      <c r="I60" s="14">
        <f>IF(TbRegistroEntradas[[#This Row],[Data do Caixa Realizado]]="",0,MONTH(TbRegistroEntradas[[#This Row],[Data do Caixa Realizado]]))</f>
        <v>3</v>
      </c>
      <c r="J60" s="14">
        <f>IF(TbRegistroEntradas[[#This Row],[Data do Caixa Realizado]]="",0,YEAR(TbRegistroEntradas[[#This Row],[Data do Caixa Realizado]]))</f>
        <v>2018</v>
      </c>
      <c r="K60" s="14">
        <f>IF(TbRegistroEntradas[[#This Row],[Data da Competência]]="",0,MONTH(TbRegistroEntradas[[#This Row],[Data da Competência]]))</f>
        <v>1</v>
      </c>
      <c r="L60" s="14">
        <f>IF(TbRegistroEntradas[[#This Row],[Data da Competência]]="",0,YEAR(TbRegistroEntradas[[#This Row],[Data da Competência]]))</f>
        <v>2018</v>
      </c>
      <c r="M60" s="14">
        <f>IF(TbRegistroEntradas[[#This Row],[Data do Caixa Previsto]]="",0,MONTH(TbRegistroEntradas[[#This Row],[Data do Caixa Previsto]]))</f>
        <v>3</v>
      </c>
      <c r="N60" s="14">
        <f>IF(TbRegistroEntradas[[#This Row],[Data do Caixa Previsto]]="",0,YEAR(TbRegistroEntradas[[#This Row],[Data do Caixa Previsto]]))</f>
        <v>2018</v>
      </c>
      <c r="O60" s="14" t="str">
        <f>IF(TbRegistroEntradas[[#This Row],[Data da Competência]]=TbRegistroEntradas[[#This Row],[Data do Caixa Previsto]],"Vista","Prazo")</f>
        <v>Prazo</v>
      </c>
      <c r="P6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0" s="14" t="str">
        <f ca="1">IF(AND(TbRegistroEntradas[[#This Row],[Data do Caixa Previsto]]&lt;TODAY(),TbRegistroEntradas[[#This Row],[Data do Caixa Realizado]]=""),"Vencida","Não vencida")</f>
        <v>Não vencida</v>
      </c>
    </row>
    <row r="61" spans="2:17" x14ac:dyDescent="0.25">
      <c r="B61" s="13">
        <v>43164.402079160267</v>
      </c>
      <c r="C61" s="13">
        <v>43122</v>
      </c>
      <c r="D61" s="13">
        <v>43145.930248245008</v>
      </c>
      <c r="E61" s="14" t="s">
        <v>0</v>
      </c>
      <c r="F61" s="14" t="s">
        <v>49</v>
      </c>
      <c r="G61" s="14" t="s">
        <v>139</v>
      </c>
      <c r="H61" s="15">
        <v>3928</v>
      </c>
      <c r="I61" s="14">
        <f>IF(TbRegistroEntradas[[#This Row],[Data do Caixa Realizado]]="",0,MONTH(TbRegistroEntradas[[#This Row],[Data do Caixa Realizado]]))</f>
        <v>3</v>
      </c>
      <c r="J61" s="14">
        <f>IF(TbRegistroEntradas[[#This Row],[Data do Caixa Realizado]]="",0,YEAR(TbRegistroEntradas[[#This Row],[Data do Caixa Realizado]]))</f>
        <v>2018</v>
      </c>
      <c r="K61" s="14">
        <f>IF(TbRegistroEntradas[[#This Row],[Data da Competência]]="",0,MONTH(TbRegistroEntradas[[#This Row],[Data da Competência]]))</f>
        <v>1</v>
      </c>
      <c r="L61" s="14">
        <f>IF(TbRegistroEntradas[[#This Row],[Data da Competência]]="",0,YEAR(TbRegistroEntradas[[#This Row],[Data da Competência]]))</f>
        <v>2018</v>
      </c>
      <c r="M61" s="14">
        <f>IF(TbRegistroEntradas[[#This Row],[Data do Caixa Previsto]]="",0,MONTH(TbRegistroEntradas[[#This Row],[Data do Caixa Previsto]]))</f>
        <v>2</v>
      </c>
      <c r="N61" s="14">
        <f>IF(TbRegistroEntradas[[#This Row],[Data do Caixa Previsto]]="",0,YEAR(TbRegistroEntradas[[#This Row],[Data do Caixa Previsto]]))</f>
        <v>2018</v>
      </c>
      <c r="O61" s="14" t="str">
        <f>IF(TbRegistroEntradas[[#This Row],[Data da Competência]]=TbRegistroEntradas[[#This Row],[Data do Caixa Previsto]],"Vista","Prazo")</f>
        <v>Prazo</v>
      </c>
      <c r="P6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18.471830915259488</v>
      </c>
      <c r="Q61" s="14" t="str">
        <f ca="1">IF(AND(TbRegistroEntradas[[#This Row],[Data do Caixa Previsto]]&lt;TODAY(),TbRegistroEntradas[[#This Row],[Data do Caixa Realizado]]=""),"Vencida","Não vencida")</f>
        <v>Não vencida</v>
      </c>
    </row>
    <row r="62" spans="2:17" x14ac:dyDescent="0.25">
      <c r="B62" s="13">
        <v>43142.713591319029</v>
      </c>
      <c r="C62" s="13">
        <v>43124</v>
      </c>
      <c r="D62" s="13">
        <v>43142.713591319029</v>
      </c>
      <c r="E62" s="14" t="s">
        <v>0</v>
      </c>
      <c r="F62" s="14" t="s">
        <v>3</v>
      </c>
      <c r="G62" s="14" t="s">
        <v>140</v>
      </c>
      <c r="H62" s="15">
        <v>3843</v>
      </c>
      <c r="I62" s="14">
        <f>IF(TbRegistroEntradas[[#This Row],[Data do Caixa Realizado]]="",0,MONTH(TbRegistroEntradas[[#This Row],[Data do Caixa Realizado]]))</f>
        <v>2</v>
      </c>
      <c r="J62" s="14">
        <f>IF(TbRegistroEntradas[[#This Row],[Data do Caixa Realizado]]="",0,YEAR(TbRegistroEntradas[[#This Row],[Data do Caixa Realizado]]))</f>
        <v>2018</v>
      </c>
      <c r="K62" s="14">
        <f>IF(TbRegistroEntradas[[#This Row],[Data da Competência]]="",0,MONTH(TbRegistroEntradas[[#This Row],[Data da Competência]]))</f>
        <v>1</v>
      </c>
      <c r="L62" s="14">
        <f>IF(TbRegistroEntradas[[#This Row],[Data da Competência]]="",0,YEAR(TbRegistroEntradas[[#This Row],[Data da Competência]]))</f>
        <v>2018</v>
      </c>
      <c r="M62" s="14">
        <f>IF(TbRegistroEntradas[[#This Row],[Data do Caixa Previsto]]="",0,MONTH(TbRegistroEntradas[[#This Row],[Data do Caixa Previsto]]))</f>
        <v>2</v>
      </c>
      <c r="N62" s="14">
        <f>IF(TbRegistroEntradas[[#This Row],[Data do Caixa Previsto]]="",0,YEAR(TbRegistroEntradas[[#This Row],[Data do Caixa Previsto]]))</f>
        <v>2018</v>
      </c>
      <c r="O62" s="14" t="str">
        <f>IF(TbRegistroEntradas[[#This Row],[Data da Competência]]=TbRegistroEntradas[[#This Row],[Data do Caixa Previsto]],"Vista","Prazo")</f>
        <v>Prazo</v>
      </c>
      <c r="P6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2" s="14" t="str">
        <f ca="1">IF(AND(TbRegistroEntradas[[#This Row],[Data do Caixa Previsto]]&lt;TODAY(),TbRegistroEntradas[[#This Row],[Data do Caixa Realizado]]=""),"Vencida","Não vencida")</f>
        <v>Não vencida</v>
      </c>
    </row>
    <row r="63" spans="2:17" x14ac:dyDescent="0.25">
      <c r="B63" s="13">
        <v>43183.516256023155</v>
      </c>
      <c r="C63" s="13">
        <v>43125</v>
      </c>
      <c r="D63" s="13">
        <v>43129.375302218272</v>
      </c>
      <c r="E63" s="14" t="s">
        <v>0</v>
      </c>
      <c r="F63" s="14" t="s">
        <v>17</v>
      </c>
      <c r="G63" s="14" t="s">
        <v>141</v>
      </c>
      <c r="H63" s="15">
        <v>1864</v>
      </c>
      <c r="I63" s="14">
        <f>IF(TbRegistroEntradas[[#This Row],[Data do Caixa Realizado]]="",0,MONTH(TbRegistroEntradas[[#This Row],[Data do Caixa Realizado]]))</f>
        <v>3</v>
      </c>
      <c r="J63" s="14">
        <f>IF(TbRegistroEntradas[[#This Row],[Data do Caixa Realizado]]="",0,YEAR(TbRegistroEntradas[[#This Row],[Data do Caixa Realizado]]))</f>
        <v>2018</v>
      </c>
      <c r="K63" s="14">
        <f>IF(TbRegistroEntradas[[#This Row],[Data da Competência]]="",0,MONTH(TbRegistroEntradas[[#This Row],[Data da Competência]]))</f>
        <v>1</v>
      </c>
      <c r="L63" s="14">
        <f>IF(TbRegistroEntradas[[#This Row],[Data da Competência]]="",0,YEAR(TbRegistroEntradas[[#This Row],[Data da Competência]]))</f>
        <v>2018</v>
      </c>
      <c r="M63" s="14">
        <f>IF(TbRegistroEntradas[[#This Row],[Data do Caixa Previsto]]="",0,MONTH(TbRegistroEntradas[[#This Row],[Data do Caixa Previsto]]))</f>
        <v>1</v>
      </c>
      <c r="N63" s="14">
        <f>IF(TbRegistroEntradas[[#This Row],[Data do Caixa Previsto]]="",0,YEAR(TbRegistroEntradas[[#This Row],[Data do Caixa Previsto]]))</f>
        <v>2018</v>
      </c>
      <c r="O63" s="14" t="str">
        <f>IF(TbRegistroEntradas[[#This Row],[Data da Competência]]=TbRegistroEntradas[[#This Row],[Data do Caixa Previsto]],"Vista","Prazo")</f>
        <v>Prazo</v>
      </c>
      <c r="P6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54.140953804882884</v>
      </c>
      <c r="Q63" s="14" t="str">
        <f ca="1">IF(AND(TbRegistroEntradas[[#This Row],[Data do Caixa Previsto]]&lt;TODAY(),TbRegistroEntradas[[#This Row],[Data do Caixa Realizado]]=""),"Vencida","Não vencida")</f>
        <v>Não vencida</v>
      </c>
    </row>
    <row r="64" spans="2:17" x14ac:dyDescent="0.25">
      <c r="B64" s="13">
        <v>43181.942093945734</v>
      </c>
      <c r="C64" s="13">
        <v>43128</v>
      </c>
      <c r="D64" s="13">
        <v>43128</v>
      </c>
      <c r="E64" s="14" t="s">
        <v>0</v>
      </c>
      <c r="F64" s="14" t="s">
        <v>24</v>
      </c>
      <c r="G64" s="14" t="s">
        <v>142</v>
      </c>
      <c r="H64" s="15">
        <v>1184</v>
      </c>
      <c r="I64" s="14">
        <f>IF(TbRegistroEntradas[[#This Row],[Data do Caixa Realizado]]="",0,MONTH(TbRegistroEntradas[[#This Row],[Data do Caixa Realizado]]))</f>
        <v>3</v>
      </c>
      <c r="J64" s="14">
        <f>IF(TbRegistroEntradas[[#This Row],[Data do Caixa Realizado]]="",0,YEAR(TbRegistroEntradas[[#This Row],[Data do Caixa Realizado]]))</f>
        <v>2018</v>
      </c>
      <c r="K64" s="14">
        <f>IF(TbRegistroEntradas[[#This Row],[Data da Competência]]="",0,MONTH(TbRegistroEntradas[[#This Row],[Data da Competência]]))</f>
        <v>1</v>
      </c>
      <c r="L64" s="14">
        <f>IF(TbRegistroEntradas[[#This Row],[Data da Competência]]="",0,YEAR(TbRegistroEntradas[[#This Row],[Data da Competência]]))</f>
        <v>2018</v>
      </c>
      <c r="M64" s="14">
        <f>IF(TbRegistroEntradas[[#This Row],[Data do Caixa Previsto]]="",0,MONTH(TbRegistroEntradas[[#This Row],[Data do Caixa Previsto]]))</f>
        <v>1</v>
      </c>
      <c r="N64" s="14">
        <f>IF(TbRegistroEntradas[[#This Row],[Data do Caixa Previsto]]="",0,YEAR(TbRegistroEntradas[[#This Row],[Data do Caixa Previsto]]))</f>
        <v>2018</v>
      </c>
      <c r="O64" s="14" t="str">
        <f>IF(TbRegistroEntradas[[#This Row],[Data da Competência]]=TbRegistroEntradas[[#This Row],[Data do Caixa Previsto]],"Vista","Prazo")</f>
        <v>Vista</v>
      </c>
      <c r="P6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53.942093945734086</v>
      </c>
      <c r="Q64" s="14" t="str">
        <f ca="1">IF(AND(TbRegistroEntradas[[#This Row],[Data do Caixa Previsto]]&lt;TODAY(),TbRegistroEntradas[[#This Row],[Data do Caixa Realizado]]=""),"Vencida","Não vencida")</f>
        <v>Não vencida</v>
      </c>
    </row>
    <row r="65" spans="2:17" x14ac:dyDescent="0.25">
      <c r="B65" s="13">
        <v>43161.227605046144</v>
      </c>
      <c r="C65" s="13">
        <v>43129</v>
      </c>
      <c r="D65" s="13">
        <v>43161.227605046144</v>
      </c>
      <c r="E65" s="14" t="s">
        <v>0</v>
      </c>
      <c r="F65" s="14" t="s">
        <v>24</v>
      </c>
      <c r="G65" s="14" t="s">
        <v>143</v>
      </c>
      <c r="H65" s="15">
        <v>4055</v>
      </c>
      <c r="I65" s="14">
        <f>IF(TbRegistroEntradas[[#This Row],[Data do Caixa Realizado]]="",0,MONTH(TbRegistroEntradas[[#This Row],[Data do Caixa Realizado]]))</f>
        <v>3</v>
      </c>
      <c r="J65" s="14">
        <f>IF(TbRegistroEntradas[[#This Row],[Data do Caixa Realizado]]="",0,YEAR(TbRegistroEntradas[[#This Row],[Data do Caixa Realizado]]))</f>
        <v>2018</v>
      </c>
      <c r="K65" s="14">
        <f>IF(TbRegistroEntradas[[#This Row],[Data da Competência]]="",0,MONTH(TbRegistroEntradas[[#This Row],[Data da Competência]]))</f>
        <v>1</v>
      </c>
      <c r="L65" s="14">
        <f>IF(TbRegistroEntradas[[#This Row],[Data da Competência]]="",0,YEAR(TbRegistroEntradas[[#This Row],[Data da Competência]]))</f>
        <v>2018</v>
      </c>
      <c r="M65" s="14">
        <f>IF(TbRegistroEntradas[[#This Row],[Data do Caixa Previsto]]="",0,MONTH(TbRegistroEntradas[[#This Row],[Data do Caixa Previsto]]))</f>
        <v>3</v>
      </c>
      <c r="N65" s="14">
        <f>IF(TbRegistroEntradas[[#This Row],[Data do Caixa Previsto]]="",0,YEAR(TbRegistroEntradas[[#This Row],[Data do Caixa Previsto]]))</f>
        <v>2018</v>
      </c>
      <c r="O65" s="14" t="str">
        <f>IF(TbRegistroEntradas[[#This Row],[Data da Competência]]=TbRegistroEntradas[[#This Row],[Data do Caixa Previsto]],"Vista","Prazo")</f>
        <v>Prazo</v>
      </c>
      <c r="P6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5" s="14" t="str">
        <f ca="1">IF(AND(TbRegistroEntradas[[#This Row],[Data do Caixa Previsto]]&lt;TODAY(),TbRegistroEntradas[[#This Row],[Data do Caixa Realizado]]=""),"Vencida","Não vencida")</f>
        <v>Não vencida</v>
      </c>
    </row>
    <row r="66" spans="2:17" x14ac:dyDescent="0.25">
      <c r="B66" s="13">
        <v>43178.327075601032</v>
      </c>
      <c r="C66" s="13">
        <v>43130</v>
      </c>
      <c r="D66" s="13">
        <v>43178.327075601032</v>
      </c>
      <c r="E66" s="14" t="s">
        <v>0</v>
      </c>
      <c r="F66" s="14" t="s">
        <v>24</v>
      </c>
      <c r="G66" s="14" t="s">
        <v>144</v>
      </c>
      <c r="H66" s="15">
        <v>427</v>
      </c>
      <c r="I66" s="14">
        <f>IF(TbRegistroEntradas[[#This Row],[Data do Caixa Realizado]]="",0,MONTH(TbRegistroEntradas[[#This Row],[Data do Caixa Realizado]]))</f>
        <v>3</v>
      </c>
      <c r="J66" s="14">
        <f>IF(TbRegistroEntradas[[#This Row],[Data do Caixa Realizado]]="",0,YEAR(TbRegistroEntradas[[#This Row],[Data do Caixa Realizado]]))</f>
        <v>2018</v>
      </c>
      <c r="K66" s="14">
        <f>IF(TbRegistroEntradas[[#This Row],[Data da Competência]]="",0,MONTH(TbRegistroEntradas[[#This Row],[Data da Competência]]))</f>
        <v>1</v>
      </c>
      <c r="L66" s="14">
        <f>IF(TbRegistroEntradas[[#This Row],[Data da Competência]]="",0,YEAR(TbRegistroEntradas[[#This Row],[Data da Competência]]))</f>
        <v>2018</v>
      </c>
      <c r="M66" s="14">
        <f>IF(TbRegistroEntradas[[#This Row],[Data do Caixa Previsto]]="",0,MONTH(TbRegistroEntradas[[#This Row],[Data do Caixa Previsto]]))</f>
        <v>3</v>
      </c>
      <c r="N66" s="14">
        <f>IF(TbRegistroEntradas[[#This Row],[Data do Caixa Previsto]]="",0,YEAR(TbRegistroEntradas[[#This Row],[Data do Caixa Previsto]]))</f>
        <v>2018</v>
      </c>
      <c r="O66" s="14" t="str">
        <f>IF(TbRegistroEntradas[[#This Row],[Data da Competência]]=TbRegistroEntradas[[#This Row],[Data do Caixa Previsto]],"Vista","Prazo")</f>
        <v>Prazo</v>
      </c>
      <c r="P6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6" s="14" t="str">
        <f ca="1">IF(AND(TbRegistroEntradas[[#This Row],[Data do Caixa Previsto]]&lt;TODAY(),TbRegistroEntradas[[#This Row],[Data do Caixa Realizado]]=""),"Vencida","Não vencida")</f>
        <v>Não vencida</v>
      </c>
    </row>
    <row r="67" spans="2:17" x14ac:dyDescent="0.25">
      <c r="B67" s="13">
        <v>43138.085439585935</v>
      </c>
      <c r="C67" s="13">
        <v>43133</v>
      </c>
      <c r="D67" s="13">
        <v>43138.085439585935</v>
      </c>
      <c r="E67" s="14" t="s">
        <v>0</v>
      </c>
      <c r="F67" s="14" t="s">
        <v>5</v>
      </c>
      <c r="G67" s="14" t="s">
        <v>145</v>
      </c>
      <c r="H67" s="15">
        <v>460</v>
      </c>
      <c r="I67" s="14">
        <f>IF(TbRegistroEntradas[[#This Row],[Data do Caixa Realizado]]="",0,MONTH(TbRegistroEntradas[[#This Row],[Data do Caixa Realizado]]))</f>
        <v>2</v>
      </c>
      <c r="J67" s="14">
        <f>IF(TbRegistroEntradas[[#This Row],[Data do Caixa Realizado]]="",0,YEAR(TbRegistroEntradas[[#This Row],[Data do Caixa Realizado]]))</f>
        <v>2018</v>
      </c>
      <c r="K67" s="14">
        <f>IF(TbRegistroEntradas[[#This Row],[Data da Competência]]="",0,MONTH(TbRegistroEntradas[[#This Row],[Data da Competência]]))</f>
        <v>2</v>
      </c>
      <c r="L67" s="14">
        <f>IF(TbRegistroEntradas[[#This Row],[Data da Competência]]="",0,YEAR(TbRegistroEntradas[[#This Row],[Data da Competência]]))</f>
        <v>2018</v>
      </c>
      <c r="M67" s="14">
        <f>IF(TbRegistroEntradas[[#This Row],[Data do Caixa Previsto]]="",0,MONTH(TbRegistroEntradas[[#This Row],[Data do Caixa Previsto]]))</f>
        <v>2</v>
      </c>
      <c r="N67" s="14">
        <f>IF(TbRegistroEntradas[[#This Row],[Data do Caixa Previsto]]="",0,YEAR(TbRegistroEntradas[[#This Row],[Data do Caixa Previsto]]))</f>
        <v>2018</v>
      </c>
      <c r="O67" s="14" t="str">
        <f>IF(TbRegistroEntradas[[#This Row],[Data da Competência]]=TbRegistroEntradas[[#This Row],[Data do Caixa Previsto]],"Vista","Prazo")</f>
        <v>Prazo</v>
      </c>
      <c r="P6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7" s="14" t="str">
        <f ca="1">IF(AND(TbRegistroEntradas[[#This Row],[Data do Caixa Previsto]]&lt;TODAY(),TbRegistroEntradas[[#This Row],[Data do Caixa Realizado]]=""),"Vencida","Não vencida")</f>
        <v>Não vencida</v>
      </c>
    </row>
    <row r="68" spans="2:17" x14ac:dyDescent="0.25">
      <c r="B68" s="13">
        <v>43190.17599100792</v>
      </c>
      <c r="C68" s="13">
        <v>43136</v>
      </c>
      <c r="D68" s="13">
        <v>43190.17599100792</v>
      </c>
      <c r="E68" s="14" t="s">
        <v>0</v>
      </c>
      <c r="F68" s="14" t="s">
        <v>49</v>
      </c>
      <c r="G68" s="14" t="s">
        <v>146</v>
      </c>
      <c r="H68" s="15">
        <v>964</v>
      </c>
      <c r="I68" s="14">
        <f>IF(TbRegistroEntradas[[#This Row],[Data do Caixa Realizado]]="",0,MONTH(TbRegistroEntradas[[#This Row],[Data do Caixa Realizado]]))</f>
        <v>3</v>
      </c>
      <c r="J68" s="14">
        <f>IF(TbRegistroEntradas[[#This Row],[Data do Caixa Realizado]]="",0,YEAR(TbRegistroEntradas[[#This Row],[Data do Caixa Realizado]]))</f>
        <v>2018</v>
      </c>
      <c r="K68" s="14">
        <f>IF(TbRegistroEntradas[[#This Row],[Data da Competência]]="",0,MONTH(TbRegistroEntradas[[#This Row],[Data da Competência]]))</f>
        <v>2</v>
      </c>
      <c r="L68" s="14">
        <f>IF(TbRegistroEntradas[[#This Row],[Data da Competência]]="",0,YEAR(TbRegistroEntradas[[#This Row],[Data da Competência]]))</f>
        <v>2018</v>
      </c>
      <c r="M68" s="14">
        <f>IF(TbRegistroEntradas[[#This Row],[Data do Caixa Previsto]]="",0,MONTH(TbRegistroEntradas[[#This Row],[Data do Caixa Previsto]]))</f>
        <v>3</v>
      </c>
      <c r="N68" s="14">
        <f>IF(TbRegistroEntradas[[#This Row],[Data do Caixa Previsto]]="",0,YEAR(TbRegistroEntradas[[#This Row],[Data do Caixa Previsto]]))</f>
        <v>2018</v>
      </c>
      <c r="O68" s="14" t="str">
        <f>IF(TbRegistroEntradas[[#This Row],[Data da Competência]]=TbRegistroEntradas[[#This Row],[Data do Caixa Previsto]],"Vista","Prazo")</f>
        <v>Prazo</v>
      </c>
      <c r="P6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8" s="14" t="str">
        <f ca="1">IF(AND(TbRegistroEntradas[[#This Row],[Data do Caixa Previsto]]&lt;TODAY(),TbRegistroEntradas[[#This Row],[Data do Caixa Realizado]]=""),"Vencida","Não vencida")</f>
        <v>Não vencida</v>
      </c>
    </row>
    <row r="69" spans="2:17" x14ac:dyDescent="0.25">
      <c r="B69" s="13">
        <v>43145.940969359632</v>
      </c>
      <c r="C69" s="13">
        <v>43140</v>
      </c>
      <c r="D69" s="13">
        <v>43145.940969359632</v>
      </c>
      <c r="E69" s="14" t="s">
        <v>0</v>
      </c>
      <c r="F69" s="14" t="s">
        <v>24</v>
      </c>
      <c r="G69" s="14" t="s">
        <v>147</v>
      </c>
      <c r="H69" s="15">
        <v>3412</v>
      </c>
      <c r="I69" s="14">
        <f>IF(TbRegistroEntradas[[#This Row],[Data do Caixa Realizado]]="",0,MONTH(TbRegistroEntradas[[#This Row],[Data do Caixa Realizado]]))</f>
        <v>2</v>
      </c>
      <c r="J69" s="14">
        <f>IF(TbRegistroEntradas[[#This Row],[Data do Caixa Realizado]]="",0,YEAR(TbRegistroEntradas[[#This Row],[Data do Caixa Realizado]]))</f>
        <v>2018</v>
      </c>
      <c r="K69" s="14">
        <f>IF(TbRegistroEntradas[[#This Row],[Data da Competência]]="",0,MONTH(TbRegistroEntradas[[#This Row],[Data da Competência]]))</f>
        <v>2</v>
      </c>
      <c r="L69" s="14">
        <f>IF(TbRegistroEntradas[[#This Row],[Data da Competência]]="",0,YEAR(TbRegistroEntradas[[#This Row],[Data da Competência]]))</f>
        <v>2018</v>
      </c>
      <c r="M69" s="14">
        <f>IF(TbRegistroEntradas[[#This Row],[Data do Caixa Previsto]]="",0,MONTH(TbRegistroEntradas[[#This Row],[Data do Caixa Previsto]]))</f>
        <v>2</v>
      </c>
      <c r="N69" s="14">
        <f>IF(TbRegistroEntradas[[#This Row],[Data do Caixa Previsto]]="",0,YEAR(TbRegistroEntradas[[#This Row],[Data do Caixa Previsto]]))</f>
        <v>2018</v>
      </c>
      <c r="O69" s="14" t="str">
        <f>IF(TbRegistroEntradas[[#This Row],[Data da Competência]]=TbRegistroEntradas[[#This Row],[Data do Caixa Previsto]],"Vista","Prazo")</f>
        <v>Prazo</v>
      </c>
      <c r="P6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9" s="14" t="str">
        <f ca="1">IF(AND(TbRegistroEntradas[[#This Row],[Data do Caixa Previsto]]&lt;TODAY(),TbRegistroEntradas[[#This Row],[Data do Caixa Realizado]]=""),"Vencida","Não vencida")</f>
        <v>Não vencida</v>
      </c>
    </row>
    <row r="70" spans="2:17" x14ac:dyDescent="0.25">
      <c r="B70" s="13">
        <v>43146.225751185812</v>
      </c>
      <c r="C70" s="13">
        <v>43142</v>
      </c>
      <c r="D70" s="13">
        <v>43146.225751185812</v>
      </c>
      <c r="E70" s="14" t="s">
        <v>0</v>
      </c>
      <c r="F70" s="14" t="s">
        <v>3</v>
      </c>
      <c r="G70" s="14" t="s">
        <v>148</v>
      </c>
      <c r="H70" s="15">
        <v>3095</v>
      </c>
      <c r="I70" s="14">
        <f>IF(TbRegistroEntradas[[#This Row],[Data do Caixa Realizado]]="",0,MONTH(TbRegistroEntradas[[#This Row],[Data do Caixa Realizado]]))</f>
        <v>2</v>
      </c>
      <c r="J70" s="14">
        <f>IF(TbRegistroEntradas[[#This Row],[Data do Caixa Realizado]]="",0,YEAR(TbRegistroEntradas[[#This Row],[Data do Caixa Realizado]]))</f>
        <v>2018</v>
      </c>
      <c r="K70" s="14">
        <f>IF(TbRegistroEntradas[[#This Row],[Data da Competência]]="",0,MONTH(TbRegistroEntradas[[#This Row],[Data da Competência]]))</f>
        <v>2</v>
      </c>
      <c r="L70" s="14">
        <f>IF(TbRegistroEntradas[[#This Row],[Data da Competência]]="",0,YEAR(TbRegistroEntradas[[#This Row],[Data da Competência]]))</f>
        <v>2018</v>
      </c>
      <c r="M70" s="14">
        <f>IF(TbRegistroEntradas[[#This Row],[Data do Caixa Previsto]]="",0,MONTH(TbRegistroEntradas[[#This Row],[Data do Caixa Previsto]]))</f>
        <v>2</v>
      </c>
      <c r="N70" s="14">
        <f>IF(TbRegistroEntradas[[#This Row],[Data do Caixa Previsto]]="",0,YEAR(TbRegistroEntradas[[#This Row],[Data do Caixa Previsto]]))</f>
        <v>2018</v>
      </c>
      <c r="O70" s="14" t="str">
        <f>IF(TbRegistroEntradas[[#This Row],[Data da Competência]]=TbRegistroEntradas[[#This Row],[Data do Caixa Previsto]],"Vista","Prazo")</f>
        <v>Prazo</v>
      </c>
      <c r="P7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70" s="14" t="str">
        <f ca="1">IF(AND(TbRegistroEntradas[[#This Row],[Data do Caixa Previsto]]&lt;TODAY(),TbRegistroEntradas[[#This Row],[Data do Caixa Realizado]]=""),"Vencida","Não vencida")</f>
        <v>Não vencida</v>
      </c>
    </row>
    <row r="71" spans="2:17" x14ac:dyDescent="0.25">
      <c r="B71" s="13">
        <v>43193.467827275977</v>
      </c>
      <c r="C71" s="13">
        <v>43148</v>
      </c>
      <c r="D71" s="13">
        <v>43193.467827275977</v>
      </c>
      <c r="E71" s="14" t="s">
        <v>0</v>
      </c>
      <c r="F71" s="14" t="s">
        <v>5</v>
      </c>
      <c r="G71" s="14" t="s">
        <v>149</v>
      </c>
      <c r="H71" s="15">
        <v>1532</v>
      </c>
      <c r="I71" s="14">
        <f>IF(TbRegistroEntradas[[#This Row],[Data do Caixa Realizado]]="",0,MONTH(TbRegistroEntradas[[#This Row],[Data do Caixa Realizado]]))</f>
        <v>4</v>
      </c>
      <c r="J71" s="14">
        <f>IF(TbRegistroEntradas[[#This Row],[Data do Caixa Realizado]]="",0,YEAR(TbRegistroEntradas[[#This Row],[Data do Caixa Realizado]]))</f>
        <v>2018</v>
      </c>
      <c r="K71" s="14">
        <f>IF(TbRegistroEntradas[[#This Row],[Data da Competência]]="",0,MONTH(TbRegistroEntradas[[#This Row],[Data da Competência]]))</f>
        <v>2</v>
      </c>
      <c r="L71" s="14">
        <f>IF(TbRegistroEntradas[[#This Row],[Data da Competência]]="",0,YEAR(TbRegistroEntradas[[#This Row],[Data da Competência]]))</f>
        <v>2018</v>
      </c>
      <c r="M71" s="14">
        <f>IF(TbRegistroEntradas[[#This Row],[Data do Caixa Previsto]]="",0,MONTH(TbRegistroEntradas[[#This Row],[Data do Caixa Previsto]]))</f>
        <v>4</v>
      </c>
      <c r="N71" s="14">
        <f>IF(TbRegistroEntradas[[#This Row],[Data do Caixa Previsto]]="",0,YEAR(TbRegistroEntradas[[#This Row],[Data do Caixa Previsto]]))</f>
        <v>2018</v>
      </c>
      <c r="O71" s="14" t="str">
        <f>IF(TbRegistroEntradas[[#This Row],[Data da Competência]]=TbRegistroEntradas[[#This Row],[Data do Caixa Previsto]],"Vista","Prazo")</f>
        <v>Prazo</v>
      </c>
      <c r="P7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71" s="14" t="str">
        <f ca="1">IF(AND(TbRegistroEntradas[[#This Row],[Data do Caixa Previsto]]&lt;TODAY(),TbRegistroEntradas[[#This Row],[Data do Caixa Realizado]]=""),"Vencida","Não vencida")</f>
        <v>Não vencida</v>
      </c>
    </row>
    <row r="72" spans="2:17" x14ac:dyDescent="0.25">
      <c r="B72" s="13">
        <v>43193.409618971542</v>
      </c>
      <c r="C72" s="13">
        <v>43151</v>
      </c>
      <c r="D72" s="13">
        <v>43193.409618971542</v>
      </c>
      <c r="E72" s="14" t="s">
        <v>0</v>
      </c>
      <c r="F72" s="14" t="s">
        <v>5</v>
      </c>
      <c r="G72" s="14" t="s">
        <v>150</v>
      </c>
      <c r="H72" s="15">
        <v>3726</v>
      </c>
      <c r="I72" s="14">
        <f>IF(TbRegistroEntradas[[#This Row],[Data do Caixa Realizado]]="",0,MONTH(TbRegistroEntradas[[#This Row],[Data do Caixa Realizado]]))</f>
        <v>4</v>
      </c>
      <c r="J72" s="14">
        <f>IF(TbRegistroEntradas[[#This Row],[Data do Caixa Realizado]]="",0,YEAR(TbRegistroEntradas[[#This Row],[Data do Caixa Realizado]]))</f>
        <v>2018</v>
      </c>
      <c r="K72" s="14">
        <f>IF(TbRegistroEntradas[[#This Row],[Data da Competência]]="",0,MONTH(TbRegistroEntradas[[#This Row],[Data da Competência]]))</f>
        <v>2</v>
      </c>
      <c r="L72" s="14">
        <f>IF(TbRegistroEntradas[[#This Row],[Data da Competência]]="",0,YEAR(TbRegistroEntradas[[#This Row],[Data da Competência]]))</f>
        <v>2018</v>
      </c>
      <c r="M72" s="14">
        <f>IF(TbRegistroEntradas[[#This Row],[Data do Caixa Previsto]]="",0,MONTH(TbRegistroEntradas[[#This Row],[Data do Caixa Previsto]]))</f>
        <v>4</v>
      </c>
      <c r="N72" s="14">
        <f>IF(TbRegistroEntradas[[#This Row],[Data do Caixa Previsto]]="",0,YEAR(TbRegistroEntradas[[#This Row],[Data do Caixa Previsto]]))</f>
        <v>2018</v>
      </c>
      <c r="O72" s="14" t="str">
        <f>IF(TbRegistroEntradas[[#This Row],[Data da Competência]]=TbRegistroEntradas[[#This Row],[Data do Caixa Previsto]],"Vista","Prazo")</f>
        <v>Prazo</v>
      </c>
      <c r="P7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72" s="14" t="str">
        <f ca="1">IF(AND(TbRegistroEntradas[[#This Row],[Data do Caixa Previsto]]&lt;TODAY(),TbRegistroEntradas[[#This Row],[Data do Caixa Realizado]]=""),"Vencida","Não vencida")</f>
        <v>Não vencida</v>
      </c>
    </row>
    <row r="73" spans="2:17" x14ac:dyDescent="0.25">
      <c r="B73" s="13">
        <v>43261.17512133922</v>
      </c>
      <c r="C73" s="13">
        <v>43154</v>
      </c>
      <c r="D73" s="13">
        <v>43154</v>
      </c>
      <c r="E73" s="14" t="s">
        <v>0</v>
      </c>
      <c r="F73" s="14" t="s">
        <v>24</v>
      </c>
      <c r="G73" s="14" t="s">
        <v>151</v>
      </c>
      <c r="H73" s="15">
        <v>4322</v>
      </c>
      <c r="I73" s="14">
        <f>IF(TbRegistroEntradas[[#This Row],[Data do Caixa Realizado]]="",0,MONTH(TbRegistroEntradas[[#This Row],[Data do Caixa Realizado]]))</f>
        <v>6</v>
      </c>
      <c r="J73" s="14">
        <f>IF(TbRegistroEntradas[[#This Row],[Data do Caixa Realizado]]="",0,YEAR(TbRegistroEntradas[[#This Row],[Data do Caixa Realizado]]))</f>
        <v>2018</v>
      </c>
      <c r="K73" s="14">
        <f>IF(TbRegistroEntradas[[#This Row],[Data da Competência]]="",0,MONTH(TbRegistroEntradas[[#This Row],[Data da Competência]]))</f>
        <v>2</v>
      </c>
      <c r="L73" s="14">
        <f>IF(TbRegistroEntradas[[#This Row],[Data da Competência]]="",0,YEAR(TbRegistroEntradas[[#This Row],[Data da Competência]]))</f>
        <v>2018</v>
      </c>
      <c r="M73" s="14">
        <f>IF(TbRegistroEntradas[[#This Row],[Data do Caixa Previsto]]="",0,MONTH(TbRegistroEntradas[[#This Row],[Data do Caixa Previsto]]))</f>
        <v>2</v>
      </c>
      <c r="N73" s="14">
        <f>IF(TbRegistroEntradas[[#This Row],[Data do Caixa Previsto]]="",0,YEAR(TbRegistroEntradas[[#This Row],[Data do Caixa Previsto]]))</f>
        <v>2018</v>
      </c>
      <c r="O73" s="14" t="str">
        <f>IF(TbRegistroEntradas[[#This Row],[Data da Competência]]=TbRegistroEntradas[[#This Row],[Data do Caixa Previsto]],"Vista","Prazo")</f>
        <v>Vista</v>
      </c>
      <c r="P7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107.17512133921991</v>
      </c>
      <c r="Q73" s="14" t="str">
        <f ca="1">IF(AND(TbRegistroEntradas[[#This Row],[Data do Caixa Previsto]]&lt;TODAY(),TbRegistroEntradas[[#This Row],[Data do Caixa Realizado]]=""),"Vencida","Não vencida")</f>
        <v>Não vencida</v>
      </c>
    </row>
    <row r="74" spans="2:17" x14ac:dyDescent="0.25">
      <c r="B74" s="13">
        <v>43253.722363167413</v>
      </c>
      <c r="C74" s="13">
        <v>43156</v>
      </c>
      <c r="D74" s="13">
        <v>43205.753397319932</v>
      </c>
      <c r="E74" s="14" t="s">
        <v>0</v>
      </c>
      <c r="F74" s="14" t="s">
        <v>3</v>
      </c>
      <c r="G74" s="14" t="s">
        <v>152</v>
      </c>
      <c r="H74" s="15">
        <v>3998</v>
      </c>
      <c r="I74" s="14">
        <f>IF(TbRegistroEntradas[[#This Row],[Data do Caixa Realizado]]="",0,MONTH(TbRegistroEntradas[[#This Row],[Data do Caixa Realizado]]))</f>
        <v>6</v>
      </c>
      <c r="J74" s="14">
        <f>IF(TbRegistroEntradas[[#This Row],[Data do Caixa Realizado]]="",0,YEAR(TbRegistroEntradas[[#This Row],[Data do Caixa Realizado]]))</f>
        <v>2018</v>
      </c>
      <c r="K74" s="14">
        <f>IF(TbRegistroEntradas[[#This Row],[Data da Competência]]="",0,MONTH(TbRegistroEntradas[[#This Row],[Data da Competência]]))</f>
        <v>2</v>
      </c>
      <c r="L74" s="14">
        <f>IF(TbRegistroEntradas[[#This Row],[Data da Competência]]="",0,YEAR(TbRegistroEntradas[[#This Row],[Data da Competência]]))</f>
        <v>2018</v>
      </c>
      <c r="M74" s="14">
        <f>IF(TbRegistroEntradas[[#This Row],[Data do Caixa Previsto]]="",0,MONTH(TbRegistroEntradas[[#This Row],[Data do Caixa Previsto]]))</f>
        <v>4</v>
      </c>
      <c r="N74" s="14">
        <f>IF(TbRegistroEntradas[[#This Row],[Data do Caixa Previsto]]="",0,YEAR(TbRegistroEntradas[[#This Row],[Data do Caixa Previsto]]))</f>
        <v>2018</v>
      </c>
      <c r="O74" s="14" t="str">
        <f>IF(TbRegistroEntradas[[#This Row],[Data da Competência]]=TbRegistroEntradas[[#This Row],[Data do Caixa Previsto]],"Vista","Prazo")</f>
        <v>Prazo</v>
      </c>
      <c r="P7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47.968965847481741</v>
      </c>
      <c r="Q74" s="14" t="str">
        <f ca="1">IF(AND(TbRegistroEntradas[[#This Row],[Data do Caixa Previsto]]&lt;TODAY(),TbRegistroEntradas[[#This Row],[Data do Caixa Realizado]]=""),"Vencida","Não vencida")</f>
        <v>Não vencida</v>
      </c>
    </row>
    <row r="75" spans="2:17" x14ac:dyDescent="0.25">
      <c r="B75" s="13">
        <v>43268.070563511268</v>
      </c>
      <c r="C75" s="13">
        <v>43158</v>
      </c>
      <c r="D75" s="13">
        <v>43188.829564949629</v>
      </c>
      <c r="E75" s="14" t="s">
        <v>0</v>
      </c>
      <c r="F75" s="14" t="s">
        <v>3</v>
      </c>
      <c r="G75" s="14" t="s">
        <v>153</v>
      </c>
      <c r="H75" s="15">
        <v>3252</v>
      </c>
      <c r="I75" s="14">
        <f>IF(TbRegistroEntradas[[#This Row],[Data do Caixa Realizado]]="",0,MONTH(TbRegistroEntradas[[#This Row],[Data do Caixa Realizado]]))</f>
        <v>6</v>
      </c>
      <c r="J75" s="14">
        <f>IF(TbRegistroEntradas[[#This Row],[Data do Caixa Realizado]]="",0,YEAR(TbRegistroEntradas[[#This Row],[Data do Caixa Realizado]]))</f>
        <v>2018</v>
      </c>
      <c r="K75" s="14">
        <f>IF(TbRegistroEntradas[[#This Row],[Data da Competência]]="",0,MONTH(TbRegistroEntradas[[#This Row],[Data da Competência]]))</f>
        <v>2</v>
      </c>
      <c r="L75" s="14">
        <f>IF(TbRegistroEntradas[[#This Row],[Data da Competência]]="",0,YEAR(TbRegistroEntradas[[#This Row],[Data da Competência]]))</f>
        <v>2018</v>
      </c>
      <c r="M75" s="14">
        <f>IF(TbRegistroEntradas[[#This Row],[Data do Caixa Previsto]]="",0,MONTH(TbRegistroEntradas[[#This Row],[Data do Caixa Previsto]]))</f>
        <v>3</v>
      </c>
      <c r="N75" s="14">
        <f>IF(TbRegistroEntradas[[#This Row],[Data do Caixa Previsto]]="",0,YEAR(TbRegistroEntradas[[#This Row],[Data do Caixa Previsto]]))</f>
        <v>2018</v>
      </c>
      <c r="O75" s="14" t="str">
        <f>IF(TbRegistroEntradas[[#This Row],[Data da Competência]]=TbRegistroEntradas[[#This Row],[Data do Caixa Previsto]],"Vista","Prazo")</f>
        <v>Prazo</v>
      </c>
      <c r="P7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79.240998561639572</v>
      </c>
      <c r="Q75" s="14" t="str">
        <f ca="1">IF(AND(TbRegistroEntradas[[#This Row],[Data do Caixa Previsto]]&lt;TODAY(),TbRegistroEntradas[[#This Row],[Data do Caixa Realizado]]=""),"Vencida","Não vencida")</f>
        <v>Não vencida</v>
      </c>
    </row>
    <row r="76" spans="2:17" x14ac:dyDescent="0.25">
      <c r="B76" s="13">
        <v>43169.443907551016</v>
      </c>
      <c r="C76" s="13">
        <v>43160</v>
      </c>
      <c r="D76" s="13">
        <v>43169.443907551016</v>
      </c>
      <c r="E76" s="14" t="s">
        <v>0</v>
      </c>
      <c r="F76" s="14" t="s">
        <v>5</v>
      </c>
      <c r="G76" s="14" t="s">
        <v>154</v>
      </c>
      <c r="H76" s="15">
        <v>3701</v>
      </c>
      <c r="I76" s="14">
        <f>IF(TbRegistroEntradas[[#This Row],[Data do Caixa Realizado]]="",0,MONTH(TbRegistroEntradas[[#This Row],[Data do Caixa Realizado]]))</f>
        <v>3</v>
      </c>
      <c r="J76" s="14">
        <f>IF(TbRegistroEntradas[[#This Row],[Data do Caixa Realizado]]="",0,YEAR(TbRegistroEntradas[[#This Row],[Data do Caixa Realizado]]))</f>
        <v>2018</v>
      </c>
      <c r="K76" s="14">
        <f>IF(TbRegistroEntradas[[#This Row],[Data da Competência]]="",0,MONTH(TbRegistroEntradas[[#This Row],[Data da Competência]]))</f>
        <v>3</v>
      </c>
      <c r="L76" s="14">
        <f>IF(TbRegistroEntradas[[#This Row],[Data da Competência]]="",0,YEAR(TbRegistroEntradas[[#This Row],[Data da Competência]]))</f>
        <v>2018</v>
      </c>
      <c r="M76" s="14">
        <f>IF(TbRegistroEntradas[[#This Row],[Data do Caixa Previsto]]="",0,MONTH(TbRegistroEntradas[[#This Row],[Data do Caixa Previsto]]))</f>
        <v>3</v>
      </c>
      <c r="N76" s="14">
        <f>IF(TbRegistroEntradas[[#This Row],[Data do Caixa Previsto]]="",0,YEAR(TbRegistroEntradas[[#This Row],[Data do Caixa Previsto]]))</f>
        <v>2018</v>
      </c>
      <c r="O76" s="14" t="str">
        <f>IF(TbRegistroEntradas[[#This Row],[Data da Competência]]=TbRegistroEntradas[[#This Row],[Data do Caixa Previsto]],"Vista","Prazo")</f>
        <v>Prazo</v>
      </c>
      <c r="P7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76" s="14" t="str">
        <f ca="1">IF(AND(TbRegistroEntradas[[#This Row],[Data do Caixa Previsto]]&lt;TODAY(),TbRegistroEntradas[[#This Row],[Data do Caixa Realizado]]=""),"Vencida","Não vencida")</f>
        <v>Não vencida</v>
      </c>
    </row>
    <row r="77" spans="2:17" x14ac:dyDescent="0.25">
      <c r="B77" s="13">
        <v>43202.812742183109</v>
      </c>
      <c r="C77" s="13">
        <v>43162</v>
      </c>
      <c r="D77" s="13">
        <v>43202.812742183109</v>
      </c>
      <c r="E77" s="14" t="s">
        <v>0</v>
      </c>
      <c r="F77" s="14" t="s">
        <v>49</v>
      </c>
      <c r="G77" s="14" t="s">
        <v>155</v>
      </c>
      <c r="H77" s="15">
        <v>1977</v>
      </c>
      <c r="I77" s="14">
        <f>IF(TbRegistroEntradas[[#This Row],[Data do Caixa Realizado]]="",0,MONTH(TbRegistroEntradas[[#This Row],[Data do Caixa Realizado]]))</f>
        <v>4</v>
      </c>
      <c r="J77" s="14">
        <f>IF(TbRegistroEntradas[[#This Row],[Data do Caixa Realizado]]="",0,YEAR(TbRegistroEntradas[[#This Row],[Data do Caixa Realizado]]))</f>
        <v>2018</v>
      </c>
      <c r="K77" s="14">
        <f>IF(TbRegistroEntradas[[#This Row],[Data da Competência]]="",0,MONTH(TbRegistroEntradas[[#This Row],[Data da Competência]]))</f>
        <v>3</v>
      </c>
      <c r="L77" s="14">
        <f>IF(TbRegistroEntradas[[#This Row],[Data da Competência]]="",0,YEAR(TbRegistroEntradas[[#This Row],[Data da Competência]]))</f>
        <v>2018</v>
      </c>
      <c r="M77" s="14">
        <f>IF(TbRegistroEntradas[[#This Row],[Data do Caixa Previsto]]="",0,MONTH(TbRegistroEntradas[[#This Row],[Data do Caixa Previsto]]))</f>
        <v>4</v>
      </c>
      <c r="N77" s="14">
        <f>IF(TbRegistroEntradas[[#This Row],[Data do Caixa Previsto]]="",0,YEAR(TbRegistroEntradas[[#This Row],[Data do Caixa Previsto]]))</f>
        <v>2018</v>
      </c>
      <c r="O77" s="14" t="str">
        <f>IF(TbRegistroEntradas[[#This Row],[Data da Competência]]=TbRegistroEntradas[[#This Row],[Data do Caixa Previsto]],"Vista","Prazo")</f>
        <v>Prazo</v>
      </c>
      <c r="P7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77" s="14" t="str">
        <f ca="1">IF(AND(TbRegistroEntradas[[#This Row],[Data do Caixa Previsto]]&lt;TODAY(),TbRegistroEntradas[[#This Row],[Data do Caixa Realizado]]=""),"Vencida","Não vencida")</f>
        <v>Não vencida</v>
      </c>
    </row>
    <row r="78" spans="2:17" x14ac:dyDescent="0.25">
      <c r="B78" s="13">
        <v>43277.69194849013</v>
      </c>
      <c r="C78" s="13">
        <v>43163</v>
      </c>
      <c r="D78" s="13">
        <v>43211.113627447019</v>
      </c>
      <c r="E78" s="14" t="s">
        <v>0</v>
      </c>
      <c r="F78" s="14" t="s">
        <v>5</v>
      </c>
      <c r="G78" s="14" t="s">
        <v>156</v>
      </c>
      <c r="H78" s="15">
        <v>1217</v>
      </c>
      <c r="I78" s="14">
        <f>IF(TbRegistroEntradas[[#This Row],[Data do Caixa Realizado]]="",0,MONTH(TbRegistroEntradas[[#This Row],[Data do Caixa Realizado]]))</f>
        <v>6</v>
      </c>
      <c r="J78" s="14">
        <f>IF(TbRegistroEntradas[[#This Row],[Data do Caixa Realizado]]="",0,YEAR(TbRegistroEntradas[[#This Row],[Data do Caixa Realizado]]))</f>
        <v>2018</v>
      </c>
      <c r="K78" s="14">
        <f>IF(TbRegistroEntradas[[#This Row],[Data da Competência]]="",0,MONTH(TbRegistroEntradas[[#This Row],[Data da Competência]]))</f>
        <v>3</v>
      </c>
      <c r="L78" s="14">
        <f>IF(TbRegistroEntradas[[#This Row],[Data da Competência]]="",0,YEAR(TbRegistroEntradas[[#This Row],[Data da Competência]]))</f>
        <v>2018</v>
      </c>
      <c r="M78" s="14">
        <f>IF(TbRegistroEntradas[[#This Row],[Data do Caixa Previsto]]="",0,MONTH(TbRegistroEntradas[[#This Row],[Data do Caixa Previsto]]))</f>
        <v>4</v>
      </c>
      <c r="N78" s="14">
        <f>IF(TbRegistroEntradas[[#This Row],[Data do Caixa Previsto]]="",0,YEAR(TbRegistroEntradas[[#This Row],[Data do Caixa Previsto]]))</f>
        <v>2018</v>
      </c>
      <c r="O78" s="14" t="str">
        <f>IF(TbRegistroEntradas[[#This Row],[Data da Competência]]=TbRegistroEntradas[[#This Row],[Data do Caixa Previsto]],"Vista","Prazo")</f>
        <v>Prazo</v>
      </c>
      <c r="P7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66.578321043110918</v>
      </c>
      <c r="Q78" s="14" t="str">
        <f ca="1">IF(AND(TbRegistroEntradas[[#This Row],[Data do Caixa Previsto]]&lt;TODAY(),TbRegistroEntradas[[#This Row],[Data do Caixa Realizado]]=""),"Vencida","Não vencida")</f>
        <v>Não vencida</v>
      </c>
    </row>
    <row r="79" spans="2:17" x14ac:dyDescent="0.25">
      <c r="B79" s="13">
        <v>43283.817447549081</v>
      </c>
      <c r="C79" s="13">
        <v>43166</v>
      </c>
      <c r="D79" s="13">
        <v>43203.174471123319</v>
      </c>
      <c r="E79" s="14" t="s">
        <v>0</v>
      </c>
      <c r="F79" s="14" t="s">
        <v>17</v>
      </c>
      <c r="G79" s="14" t="s">
        <v>157</v>
      </c>
      <c r="H79" s="15">
        <v>1660</v>
      </c>
      <c r="I79" s="14">
        <f>IF(TbRegistroEntradas[[#This Row],[Data do Caixa Realizado]]="",0,MONTH(TbRegistroEntradas[[#This Row],[Data do Caixa Realizado]]))</f>
        <v>7</v>
      </c>
      <c r="J79" s="14">
        <f>IF(TbRegistroEntradas[[#This Row],[Data do Caixa Realizado]]="",0,YEAR(TbRegistroEntradas[[#This Row],[Data do Caixa Realizado]]))</f>
        <v>2018</v>
      </c>
      <c r="K79" s="14">
        <f>IF(TbRegistroEntradas[[#This Row],[Data da Competência]]="",0,MONTH(TbRegistroEntradas[[#This Row],[Data da Competência]]))</f>
        <v>3</v>
      </c>
      <c r="L79" s="14">
        <f>IF(TbRegistroEntradas[[#This Row],[Data da Competência]]="",0,YEAR(TbRegistroEntradas[[#This Row],[Data da Competência]]))</f>
        <v>2018</v>
      </c>
      <c r="M79" s="14">
        <f>IF(TbRegistroEntradas[[#This Row],[Data do Caixa Previsto]]="",0,MONTH(TbRegistroEntradas[[#This Row],[Data do Caixa Previsto]]))</f>
        <v>4</v>
      </c>
      <c r="N79" s="14">
        <f>IF(TbRegistroEntradas[[#This Row],[Data do Caixa Previsto]]="",0,YEAR(TbRegistroEntradas[[#This Row],[Data do Caixa Previsto]]))</f>
        <v>2018</v>
      </c>
      <c r="O79" s="14" t="str">
        <f>IF(TbRegistroEntradas[[#This Row],[Data da Competência]]=TbRegistroEntradas[[#This Row],[Data do Caixa Previsto]],"Vista","Prazo")</f>
        <v>Prazo</v>
      </c>
      <c r="P7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80.642976425762754</v>
      </c>
      <c r="Q79" s="14" t="str">
        <f ca="1">IF(AND(TbRegistroEntradas[[#This Row],[Data do Caixa Previsto]]&lt;TODAY(),TbRegistroEntradas[[#This Row],[Data do Caixa Realizado]]=""),"Vencida","Não vencida")</f>
        <v>Não vencida</v>
      </c>
    </row>
    <row r="80" spans="2:17" x14ac:dyDescent="0.25">
      <c r="B80" s="13">
        <v>43184.083980960655</v>
      </c>
      <c r="C80" s="13">
        <v>43169</v>
      </c>
      <c r="D80" s="13">
        <v>43169</v>
      </c>
      <c r="E80" s="14" t="s">
        <v>0</v>
      </c>
      <c r="F80" s="14" t="s">
        <v>17</v>
      </c>
      <c r="G80" s="14" t="s">
        <v>158</v>
      </c>
      <c r="H80" s="15">
        <v>837</v>
      </c>
      <c r="I80" s="14">
        <f>IF(TbRegistroEntradas[[#This Row],[Data do Caixa Realizado]]="",0,MONTH(TbRegistroEntradas[[#This Row],[Data do Caixa Realizado]]))</f>
        <v>3</v>
      </c>
      <c r="J80" s="14">
        <f>IF(TbRegistroEntradas[[#This Row],[Data do Caixa Realizado]]="",0,YEAR(TbRegistroEntradas[[#This Row],[Data do Caixa Realizado]]))</f>
        <v>2018</v>
      </c>
      <c r="K80" s="14">
        <f>IF(TbRegistroEntradas[[#This Row],[Data da Competência]]="",0,MONTH(TbRegistroEntradas[[#This Row],[Data da Competência]]))</f>
        <v>3</v>
      </c>
      <c r="L80" s="14">
        <f>IF(TbRegistroEntradas[[#This Row],[Data da Competência]]="",0,YEAR(TbRegistroEntradas[[#This Row],[Data da Competência]]))</f>
        <v>2018</v>
      </c>
      <c r="M80" s="14">
        <f>IF(TbRegistroEntradas[[#This Row],[Data do Caixa Previsto]]="",0,MONTH(TbRegistroEntradas[[#This Row],[Data do Caixa Previsto]]))</f>
        <v>3</v>
      </c>
      <c r="N80" s="14">
        <f>IF(TbRegistroEntradas[[#This Row],[Data do Caixa Previsto]]="",0,YEAR(TbRegistroEntradas[[#This Row],[Data do Caixa Previsto]]))</f>
        <v>2018</v>
      </c>
      <c r="O80" s="14" t="str">
        <f>IF(TbRegistroEntradas[[#This Row],[Data da Competência]]=TbRegistroEntradas[[#This Row],[Data do Caixa Previsto]],"Vista","Prazo")</f>
        <v>Vista</v>
      </c>
      <c r="P8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15.083980960655026</v>
      </c>
      <c r="Q80" s="14" t="str">
        <f ca="1">IF(AND(TbRegistroEntradas[[#This Row],[Data do Caixa Previsto]]&lt;TODAY(),TbRegistroEntradas[[#This Row],[Data do Caixa Realizado]]=""),"Vencida","Não vencida")</f>
        <v>Não vencida</v>
      </c>
    </row>
    <row r="81" spans="2:17" x14ac:dyDescent="0.25">
      <c r="B81" s="13">
        <v>43200.147034627953</v>
      </c>
      <c r="C81" s="13">
        <v>43171</v>
      </c>
      <c r="D81" s="13">
        <v>43200.147034627953</v>
      </c>
      <c r="E81" s="14" t="s">
        <v>0</v>
      </c>
      <c r="F81" s="14" t="s">
        <v>24</v>
      </c>
      <c r="G81" s="14" t="s">
        <v>159</v>
      </c>
      <c r="H81" s="15">
        <v>1838</v>
      </c>
      <c r="I81" s="14">
        <f>IF(TbRegistroEntradas[[#This Row],[Data do Caixa Realizado]]="",0,MONTH(TbRegistroEntradas[[#This Row],[Data do Caixa Realizado]]))</f>
        <v>4</v>
      </c>
      <c r="J81" s="14">
        <f>IF(TbRegistroEntradas[[#This Row],[Data do Caixa Realizado]]="",0,YEAR(TbRegistroEntradas[[#This Row],[Data do Caixa Realizado]]))</f>
        <v>2018</v>
      </c>
      <c r="K81" s="14">
        <f>IF(TbRegistroEntradas[[#This Row],[Data da Competência]]="",0,MONTH(TbRegistroEntradas[[#This Row],[Data da Competência]]))</f>
        <v>3</v>
      </c>
      <c r="L81" s="14">
        <f>IF(TbRegistroEntradas[[#This Row],[Data da Competência]]="",0,YEAR(TbRegistroEntradas[[#This Row],[Data da Competência]]))</f>
        <v>2018</v>
      </c>
      <c r="M81" s="14">
        <f>IF(TbRegistroEntradas[[#This Row],[Data do Caixa Previsto]]="",0,MONTH(TbRegistroEntradas[[#This Row],[Data do Caixa Previsto]]))</f>
        <v>4</v>
      </c>
      <c r="N81" s="14">
        <f>IF(TbRegistroEntradas[[#This Row],[Data do Caixa Previsto]]="",0,YEAR(TbRegistroEntradas[[#This Row],[Data do Caixa Previsto]]))</f>
        <v>2018</v>
      </c>
      <c r="O81" s="14" t="str">
        <f>IF(TbRegistroEntradas[[#This Row],[Data da Competência]]=TbRegistroEntradas[[#This Row],[Data do Caixa Previsto]],"Vista","Prazo")</f>
        <v>Prazo</v>
      </c>
      <c r="P8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81" s="14" t="str">
        <f ca="1">IF(AND(TbRegistroEntradas[[#This Row],[Data do Caixa Previsto]]&lt;TODAY(),TbRegistroEntradas[[#This Row],[Data do Caixa Realizado]]=""),"Vencida","Não vencida")</f>
        <v>Não vencida</v>
      </c>
    </row>
    <row r="82" spans="2:17" x14ac:dyDescent="0.25">
      <c r="B82" s="13">
        <v>43207.818228031581</v>
      </c>
      <c r="C82" s="13">
        <v>43176</v>
      </c>
      <c r="D82" s="13">
        <v>43176</v>
      </c>
      <c r="E82" s="14" t="s">
        <v>0</v>
      </c>
      <c r="F82" s="14" t="s">
        <v>49</v>
      </c>
      <c r="G82" s="14" t="s">
        <v>160</v>
      </c>
      <c r="H82" s="15">
        <v>4471</v>
      </c>
      <c r="I82" s="14">
        <f>IF(TbRegistroEntradas[[#This Row],[Data do Caixa Realizado]]="",0,MONTH(TbRegistroEntradas[[#This Row],[Data do Caixa Realizado]]))</f>
        <v>4</v>
      </c>
      <c r="J82" s="14">
        <f>IF(TbRegistroEntradas[[#This Row],[Data do Caixa Realizado]]="",0,YEAR(TbRegistroEntradas[[#This Row],[Data do Caixa Realizado]]))</f>
        <v>2018</v>
      </c>
      <c r="K82" s="14">
        <f>IF(TbRegistroEntradas[[#This Row],[Data da Competência]]="",0,MONTH(TbRegistroEntradas[[#This Row],[Data da Competência]]))</f>
        <v>3</v>
      </c>
      <c r="L82" s="14">
        <f>IF(TbRegistroEntradas[[#This Row],[Data da Competência]]="",0,YEAR(TbRegistroEntradas[[#This Row],[Data da Competência]]))</f>
        <v>2018</v>
      </c>
      <c r="M82" s="14">
        <f>IF(TbRegistroEntradas[[#This Row],[Data do Caixa Previsto]]="",0,MONTH(TbRegistroEntradas[[#This Row],[Data do Caixa Previsto]]))</f>
        <v>3</v>
      </c>
      <c r="N82" s="14">
        <f>IF(TbRegistroEntradas[[#This Row],[Data do Caixa Previsto]]="",0,YEAR(TbRegistroEntradas[[#This Row],[Data do Caixa Previsto]]))</f>
        <v>2018</v>
      </c>
      <c r="O82" s="14" t="str">
        <f>IF(TbRegistroEntradas[[#This Row],[Data da Competência]]=TbRegistroEntradas[[#This Row],[Data do Caixa Previsto]],"Vista","Prazo")</f>
        <v>Vista</v>
      </c>
      <c r="P8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31.818228031581384</v>
      </c>
      <c r="Q82" s="14" t="str">
        <f ca="1">IF(AND(TbRegistroEntradas[[#This Row],[Data do Caixa Previsto]]&lt;TODAY(),TbRegistroEntradas[[#This Row],[Data do Caixa Realizado]]=""),"Vencida","Não vencida")</f>
        <v>Não vencida</v>
      </c>
    </row>
    <row r="83" spans="2:17" x14ac:dyDescent="0.25">
      <c r="B83" s="13">
        <v>43234.457970610572</v>
      </c>
      <c r="C83" s="13">
        <v>43177</v>
      </c>
      <c r="D83" s="13">
        <v>43177</v>
      </c>
      <c r="E83" s="14" t="s">
        <v>0</v>
      </c>
      <c r="F83" s="14" t="s">
        <v>24</v>
      </c>
      <c r="G83" s="14" t="s">
        <v>161</v>
      </c>
      <c r="H83" s="15">
        <v>3540</v>
      </c>
      <c r="I83" s="14">
        <f>IF(TbRegistroEntradas[[#This Row],[Data do Caixa Realizado]]="",0,MONTH(TbRegistroEntradas[[#This Row],[Data do Caixa Realizado]]))</f>
        <v>5</v>
      </c>
      <c r="J83" s="14">
        <f>IF(TbRegistroEntradas[[#This Row],[Data do Caixa Realizado]]="",0,YEAR(TbRegistroEntradas[[#This Row],[Data do Caixa Realizado]]))</f>
        <v>2018</v>
      </c>
      <c r="K83" s="14">
        <f>IF(TbRegistroEntradas[[#This Row],[Data da Competência]]="",0,MONTH(TbRegistroEntradas[[#This Row],[Data da Competência]]))</f>
        <v>3</v>
      </c>
      <c r="L83" s="14">
        <f>IF(TbRegistroEntradas[[#This Row],[Data da Competência]]="",0,YEAR(TbRegistroEntradas[[#This Row],[Data da Competência]]))</f>
        <v>2018</v>
      </c>
      <c r="M83" s="14">
        <f>IF(TbRegistroEntradas[[#This Row],[Data do Caixa Previsto]]="",0,MONTH(TbRegistroEntradas[[#This Row],[Data do Caixa Previsto]]))</f>
        <v>3</v>
      </c>
      <c r="N83" s="14">
        <f>IF(TbRegistroEntradas[[#This Row],[Data do Caixa Previsto]]="",0,YEAR(TbRegistroEntradas[[#This Row],[Data do Caixa Previsto]]))</f>
        <v>2018</v>
      </c>
      <c r="O83" s="14" t="str">
        <f>IF(TbRegistroEntradas[[#This Row],[Data da Competência]]=TbRegistroEntradas[[#This Row],[Data do Caixa Previsto]],"Vista","Prazo")</f>
        <v>Vista</v>
      </c>
      <c r="P8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57.457970610572374</v>
      </c>
      <c r="Q83" s="14" t="str">
        <f ca="1">IF(AND(TbRegistroEntradas[[#This Row],[Data do Caixa Previsto]]&lt;TODAY(),TbRegistroEntradas[[#This Row],[Data do Caixa Realizado]]=""),"Vencida","Não vencida")</f>
        <v>Não vencida</v>
      </c>
    </row>
    <row r="84" spans="2:17" x14ac:dyDescent="0.25">
      <c r="B84" s="13">
        <v>43220.822063654756</v>
      </c>
      <c r="C84" s="13">
        <v>43180</v>
      </c>
      <c r="D84" s="13">
        <v>43180</v>
      </c>
      <c r="E84" s="14" t="s">
        <v>0</v>
      </c>
      <c r="F84" s="14" t="s">
        <v>24</v>
      </c>
      <c r="G84" s="14" t="s">
        <v>162</v>
      </c>
      <c r="H84" s="15">
        <v>4606</v>
      </c>
      <c r="I84" s="14">
        <f>IF(TbRegistroEntradas[[#This Row],[Data do Caixa Realizado]]="",0,MONTH(TbRegistroEntradas[[#This Row],[Data do Caixa Realizado]]))</f>
        <v>4</v>
      </c>
      <c r="J84" s="14">
        <f>IF(TbRegistroEntradas[[#This Row],[Data do Caixa Realizado]]="",0,YEAR(TbRegistroEntradas[[#This Row],[Data do Caixa Realizado]]))</f>
        <v>2018</v>
      </c>
      <c r="K84" s="14">
        <f>IF(TbRegistroEntradas[[#This Row],[Data da Competência]]="",0,MONTH(TbRegistroEntradas[[#This Row],[Data da Competência]]))</f>
        <v>3</v>
      </c>
      <c r="L84" s="14">
        <f>IF(TbRegistroEntradas[[#This Row],[Data da Competência]]="",0,YEAR(TbRegistroEntradas[[#This Row],[Data da Competência]]))</f>
        <v>2018</v>
      </c>
      <c r="M84" s="14">
        <f>IF(TbRegistroEntradas[[#This Row],[Data do Caixa Previsto]]="",0,MONTH(TbRegistroEntradas[[#This Row],[Data do Caixa Previsto]]))</f>
        <v>3</v>
      </c>
      <c r="N84" s="14">
        <f>IF(TbRegistroEntradas[[#This Row],[Data do Caixa Previsto]]="",0,YEAR(TbRegistroEntradas[[#This Row],[Data do Caixa Previsto]]))</f>
        <v>2018</v>
      </c>
      <c r="O84" s="14" t="str">
        <f>IF(TbRegistroEntradas[[#This Row],[Data da Competência]]=TbRegistroEntradas[[#This Row],[Data do Caixa Previsto]],"Vista","Prazo")</f>
        <v>Vista</v>
      </c>
      <c r="P8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40.822063654755766</v>
      </c>
      <c r="Q84" s="14" t="str">
        <f ca="1">IF(AND(TbRegistroEntradas[[#This Row],[Data do Caixa Previsto]]&lt;TODAY(),TbRegistroEntradas[[#This Row],[Data do Caixa Realizado]]=""),"Vencida","Não vencida")</f>
        <v>Não vencida</v>
      </c>
    </row>
    <row r="85" spans="2:17" x14ac:dyDescent="0.25">
      <c r="B85" s="13" t="s">
        <v>92</v>
      </c>
      <c r="C85" s="13">
        <v>43182</v>
      </c>
      <c r="D85" s="13">
        <v>43199.063059084292</v>
      </c>
      <c r="E85" s="14" t="s">
        <v>0</v>
      </c>
      <c r="F85" s="14" t="s">
        <v>3</v>
      </c>
      <c r="G85" s="14" t="s">
        <v>163</v>
      </c>
      <c r="H85" s="15">
        <v>2388</v>
      </c>
      <c r="I85" s="14">
        <f>IF(TbRegistroEntradas[[#This Row],[Data do Caixa Realizado]]="",0,MONTH(TbRegistroEntradas[[#This Row],[Data do Caixa Realizado]]))</f>
        <v>0</v>
      </c>
      <c r="J85" s="14">
        <f>IF(TbRegistroEntradas[[#This Row],[Data do Caixa Realizado]]="",0,YEAR(TbRegistroEntradas[[#This Row],[Data do Caixa Realizado]]))</f>
        <v>0</v>
      </c>
      <c r="K85" s="14">
        <f>IF(TbRegistroEntradas[[#This Row],[Data da Competência]]="",0,MONTH(TbRegistroEntradas[[#This Row],[Data da Competência]]))</f>
        <v>3</v>
      </c>
      <c r="L85" s="14">
        <f>IF(TbRegistroEntradas[[#This Row],[Data da Competência]]="",0,YEAR(TbRegistroEntradas[[#This Row],[Data da Competência]]))</f>
        <v>2018</v>
      </c>
      <c r="M85" s="14">
        <f>IF(TbRegistroEntradas[[#This Row],[Data do Caixa Previsto]]="",0,MONTH(TbRegistroEntradas[[#This Row],[Data do Caixa Previsto]]))</f>
        <v>4</v>
      </c>
      <c r="N85" s="14">
        <f>IF(TbRegistroEntradas[[#This Row],[Data do Caixa Previsto]]="",0,YEAR(TbRegistroEntradas[[#This Row],[Data do Caixa Previsto]]))</f>
        <v>2018</v>
      </c>
      <c r="O85" s="14" t="str">
        <f>IF(TbRegistroEntradas[[#This Row],[Data da Competência]]=TbRegistroEntradas[[#This Row],[Data do Caixa Previsto]],"Vista","Prazo")</f>
        <v>Prazo</v>
      </c>
      <c r="P8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2194.936940915708</v>
      </c>
      <c r="Q85" s="14" t="str">
        <f ca="1">IF(AND(TbRegistroEntradas[[#This Row],[Data do Caixa Previsto]]&lt;TODAY(),TbRegistroEntradas[[#This Row],[Data do Caixa Realizado]]=""),"Vencida","Não vencida")</f>
        <v>Vencida</v>
      </c>
    </row>
    <row r="86" spans="2:17" x14ac:dyDescent="0.25">
      <c r="B86" s="13">
        <v>43187.544050679455</v>
      </c>
      <c r="C86" s="13">
        <v>43184</v>
      </c>
      <c r="D86" s="13">
        <v>43187.544050679455</v>
      </c>
      <c r="E86" s="14" t="s">
        <v>0</v>
      </c>
      <c r="F86" s="14" t="s">
        <v>17</v>
      </c>
      <c r="G86" s="14" t="s">
        <v>164</v>
      </c>
      <c r="H86" s="15">
        <v>2303</v>
      </c>
      <c r="I86" s="14">
        <f>IF(TbRegistroEntradas[[#This Row],[Data do Caixa Realizado]]="",0,MONTH(TbRegistroEntradas[[#This Row],[Data do Caixa Realizado]]))</f>
        <v>3</v>
      </c>
      <c r="J86" s="14">
        <f>IF(TbRegistroEntradas[[#This Row],[Data do Caixa Realizado]]="",0,YEAR(TbRegistroEntradas[[#This Row],[Data do Caixa Realizado]]))</f>
        <v>2018</v>
      </c>
      <c r="K86" s="14">
        <f>IF(TbRegistroEntradas[[#This Row],[Data da Competência]]="",0,MONTH(TbRegistroEntradas[[#This Row],[Data da Competência]]))</f>
        <v>3</v>
      </c>
      <c r="L86" s="14">
        <f>IF(TbRegistroEntradas[[#This Row],[Data da Competência]]="",0,YEAR(TbRegistroEntradas[[#This Row],[Data da Competência]]))</f>
        <v>2018</v>
      </c>
      <c r="M86" s="14">
        <f>IF(TbRegistroEntradas[[#This Row],[Data do Caixa Previsto]]="",0,MONTH(TbRegistroEntradas[[#This Row],[Data do Caixa Previsto]]))</f>
        <v>3</v>
      </c>
      <c r="N86" s="14">
        <f>IF(TbRegistroEntradas[[#This Row],[Data do Caixa Previsto]]="",0,YEAR(TbRegistroEntradas[[#This Row],[Data do Caixa Previsto]]))</f>
        <v>2018</v>
      </c>
      <c r="O86" s="14" t="str">
        <f>IF(TbRegistroEntradas[[#This Row],[Data da Competência]]=TbRegistroEntradas[[#This Row],[Data do Caixa Previsto]],"Vista","Prazo")</f>
        <v>Prazo</v>
      </c>
      <c r="P8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86" s="14" t="str">
        <f ca="1">IF(AND(TbRegistroEntradas[[#This Row],[Data do Caixa Previsto]]&lt;TODAY(),TbRegistroEntradas[[#This Row],[Data do Caixa Realizado]]=""),"Vencida","Não vencida")</f>
        <v>Não vencida</v>
      </c>
    </row>
    <row r="87" spans="2:17" x14ac:dyDescent="0.25">
      <c r="B87" s="13">
        <v>43205.258677559352</v>
      </c>
      <c r="C87" s="13">
        <v>43187</v>
      </c>
      <c r="D87" s="13">
        <v>43205.258677559352</v>
      </c>
      <c r="E87" s="14" t="s">
        <v>0</v>
      </c>
      <c r="F87" s="14" t="s">
        <v>49</v>
      </c>
      <c r="G87" s="14" t="s">
        <v>165</v>
      </c>
      <c r="H87" s="15">
        <v>1662</v>
      </c>
      <c r="I87" s="14">
        <f>IF(TbRegistroEntradas[[#This Row],[Data do Caixa Realizado]]="",0,MONTH(TbRegistroEntradas[[#This Row],[Data do Caixa Realizado]]))</f>
        <v>4</v>
      </c>
      <c r="J87" s="14">
        <f>IF(TbRegistroEntradas[[#This Row],[Data do Caixa Realizado]]="",0,YEAR(TbRegistroEntradas[[#This Row],[Data do Caixa Realizado]]))</f>
        <v>2018</v>
      </c>
      <c r="K87" s="14">
        <f>IF(TbRegistroEntradas[[#This Row],[Data da Competência]]="",0,MONTH(TbRegistroEntradas[[#This Row],[Data da Competência]]))</f>
        <v>3</v>
      </c>
      <c r="L87" s="14">
        <f>IF(TbRegistroEntradas[[#This Row],[Data da Competência]]="",0,YEAR(TbRegistroEntradas[[#This Row],[Data da Competência]]))</f>
        <v>2018</v>
      </c>
      <c r="M87" s="14">
        <f>IF(TbRegistroEntradas[[#This Row],[Data do Caixa Previsto]]="",0,MONTH(TbRegistroEntradas[[#This Row],[Data do Caixa Previsto]]))</f>
        <v>4</v>
      </c>
      <c r="N87" s="14">
        <f>IF(TbRegistroEntradas[[#This Row],[Data do Caixa Previsto]]="",0,YEAR(TbRegistroEntradas[[#This Row],[Data do Caixa Previsto]]))</f>
        <v>2018</v>
      </c>
      <c r="O87" s="14" t="str">
        <f>IF(TbRegistroEntradas[[#This Row],[Data da Competência]]=TbRegistroEntradas[[#This Row],[Data do Caixa Previsto]],"Vista","Prazo")</f>
        <v>Prazo</v>
      </c>
      <c r="P8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87" s="14" t="str">
        <f ca="1">IF(AND(TbRegistroEntradas[[#This Row],[Data do Caixa Previsto]]&lt;TODAY(),TbRegistroEntradas[[#This Row],[Data do Caixa Realizado]]=""),"Vencida","Não vencida")</f>
        <v>Não vencida</v>
      </c>
    </row>
    <row r="88" spans="2:17" x14ac:dyDescent="0.25">
      <c r="B88" s="13">
        <v>43228.479640925485</v>
      </c>
      <c r="C88" s="13">
        <v>43189</v>
      </c>
      <c r="D88" s="13">
        <v>43189</v>
      </c>
      <c r="E88" s="14" t="s">
        <v>0</v>
      </c>
      <c r="F88" s="14" t="s">
        <v>3</v>
      </c>
      <c r="G88" s="14" t="s">
        <v>166</v>
      </c>
      <c r="H88" s="15">
        <v>3241</v>
      </c>
      <c r="I88" s="14">
        <f>IF(TbRegistroEntradas[[#This Row],[Data do Caixa Realizado]]="",0,MONTH(TbRegistroEntradas[[#This Row],[Data do Caixa Realizado]]))</f>
        <v>5</v>
      </c>
      <c r="J88" s="14">
        <f>IF(TbRegistroEntradas[[#This Row],[Data do Caixa Realizado]]="",0,YEAR(TbRegistroEntradas[[#This Row],[Data do Caixa Realizado]]))</f>
        <v>2018</v>
      </c>
      <c r="K88" s="14">
        <f>IF(TbRegistroEntradas[[#This Row],[Data da Competência]]="",0,MONTH(TbRegistroEntradas[[#This Row],[Data da Competência]]))</f>
        <v>3</v>
      </c>
      <c r="L88" s="14">
        <f>IF(TbRegistroEntradas[[#This Row],[Data da Competência]]="",0,YEAR(TbRegistroEntradas[[#This Row],[Data da Competência]]))</f>
        <v>2018</v>
      </c>
      <c r="M88" s="14">
        <f>IF(TbRegistroEntradas[[#This Row],[Data do Caixa Previsto]]="",0,MONTH(TbRegistroEntradas[[#This Row],[Data do Caixa Previsto]]))</f>
        <v>3</v>
      </c>
      <c r="N88" s="14">
        <f>IF(TbRegistroEntradas[[#This Row],[Data do Caixa Previsto]]="",0,YEAR(TbRegistroEntradas[[#This Row],[Data do Caixa Previsto]]))</f>
        <v>2018</v>
      </c>
      <c r="O88" s="14" t="str">
        <f>IF(TbRegistroEntradas[[#This Row],[Data da Competência]]=TbRegistroEntradas[[#This Row],[Data do Caixa Previsto]],"Vista","Prazo")</f>
        <v>Vista</v>
      </c>
      <c r="P8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39.479640925485</v>
      </c>
      <c r="Q88" s="14" t="str">
        <f ca="1">IF(AND(TbRegistroEntradas[[#This Row],[Data do Caixa Previsto]]&lt;TODAY(),TbRegistroEntradas[[#This Row],[Data do Caixa Realizado]]=""),"Vencida","Não vencida")</f>
        <v>Não vencida</v>
      </c>
    </row>
    <row r="89" spans="2:17" x14ac:dyDescent="0.25">
      <c r="B89" s="13">
        <v>43228.526498585612</v>
      </c>
      <c r="C89" s="13">
        <v>43190</v>
      </c>
      <c r="D89" s="13">
        <v>43228.526498585612</v>
      </c>
      <c r="E89" s="14" t="s">
        <v>0</v>
      </c>
      <c r="F89" s="14" t="s">
        <v>49</v>
      </c>
      <c r="G89" s="14" t="s">
        <v>167</v>
      </c>
      <c r="H89" s="15">
        <v>4017</v>
      </c>
      <c r="I89" s="14">
        <f>IF(TbRegistroEntradas[[#This Row],[Data do Caixa Realizado]]="",0,MONTH(TbRegistroEntradas[[#This Row],[Data do Caixa Realizado]]))</f>
        <v>5</v>
      </c>
      <c r="J89" s="14">
        <f>IF(TbRegistroEntradas[[#This Row],[Data do Caixa Realizado]]="",0,YEAR(TbRegistroEntradas[[#This Row],[Data do Caixa Realizado]]))</f>
        <v>2018</v>
      </c>
      <c r="K89" s="14">
        <f>IF(TbRegistroEntradas[[#This Row],[Data da Competência]]="",0,MONTH(TbRegistroEntradas[[#This Row],[Data da Competência]]))</f>
        <v>3</v>
      </c>
      <c r="L89" s="14">
        <f>IF(TbRegistroEntradas[[#This Row],[Data da Competência]]="",0,YEAR(TbRegistroEntradas[[#This Row],[Data da Competência]]))</f>
        <v>2018</v>
      </c>
      <c r="M89" s="14">
        <f>IF(TbRegistroEntradas[[#This Row],[Data do Caixa Previsto]]="",0,MONTH(TbRegistroEntradas[[#This Row],[Data do Caixa Previsto]]))</f>
        <v>5</v>
      </c>
      <c r="N89" s="14">
        <f>IF(TbRegistroEntradas[[#This Row],[Data do Caixa Previsto]]="",0,YEAR(TbRegistroEntradas[[#This Row],[Data do Caixa Previsto]]))</f>
        <v>2018</v>
      </c>
      <c r="O89" s="14" t="str">
        <f>IF(TbRegistroEntradas[[#This Row],[Data da Competência]]=TbRegistroEntradas[[#This Row],[Data do Caixa Previsto]],"Vista","Prazo")</f>
        <v>Prazo</v>
      </c>
      <c r="P8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89" s="14" t="str">
        <f ca="1">IF(AND(TbRegistroEntradas[[#This Row],[Data do Caixa Previsto]]&lt;TODAY(),TbRegistroEntradas[[#This Row],[Data do Caixa Realizado]]=""),"Vencida","Não vencida")</f>
        <v>Não vencida</v>
      </c>
    </row>
    <row r="90" spans="2:17" x14ac:dyDescent="0.25">
      <c r="B90" s="13">
        <v>43289.577504759094</v>
      </c>
      <c r="C90" s="13">
        <v>43193</v>
      </c>
      <c r="D90" s="13">
        <v>43193</v>
      </c>
      <c r="E90" s="14" t="s">
        <v>0</v>
      </c>
      <c r="F90" s="14" t="s">
        <v>24</v>
      </c>
      <c r="G90" s="14" t="s">
        <v>168</v>
      </c>
      <c r="H90" s="15">
        <v>3586</v>
      </c>
      <c r="I90" s="14">
        <f>IF(TbRegistroEntradas[[#This Row],[Data do Caixa Realizado]]="",0,MONTH(TbRegistroEntradas[[#This Row],[Data do Caixa Realizado]]))</f>
        <v>7</v>
      </c>
      <c r="J90" s="14">
        <f>IF(TbRegistroEntradas[[#This Row],[Data do Caixa Realizado]]="",0,YEAR(TbRegistroEntradas[[#This Row],[Data do Caixa Realizado]]))</f>
        <v>2018</v>
      </c>
      <c r="K90" s="14">
        <f>IF(TbRegistroEntradas[[#This Row],[Data da Competência]]="",0,MONTH(TbRegistroEntradas[[#This Row],[Data da Competência]]))</f>
        <v>4</v>
      </c>
      <c r="L90" s="14">
        <f>IF(TbRegistroEntradas[[#This Row],[Data da Competência]]="",0,YEAR(TbRegistroEntradas[[#This Row],[Data da Competência]]))</f>
        <v>2018</v>
      </c>
      <c r="M90" s="14">
        <f>IF(TbRegistroEntradas[[#This Row],[Data do Caixa Previsto]]="",0,MONTH(TbRegistroEntradas[[#This Row],[Data do Caixa Previsto]]))</f>
        <v>4</v>
      </c>
      <c r="N90" s="14">
        <f>IF(TbRegistroEntradas[[#This Row],[Data do Caixa Previsto]]="",0,YEAR(TbRegistroEntradas[[#This Row],[Data do Caixa Previsto]]))</f>
        <v>2018</v>
      </c>
      <c r="O90" s="14" t="str">
        <f>IF(TbRegistroEntradas[[#This Row],[Data da Competência]]=TbRegistroEntradas[[#This Row],[Data do Caixa Previsto]],"Vista","Prazo")</f>
        <v>Vista</v>
      </c>
      <c r="P9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96.577504759094154</v>
      </c>
      <c r="Q90" s="14" t="str">
        <f ca="1">IF(AND(TbRegistroEntradas[[#This Row],[Data do Caixa Previsto]]&lt;TODAY(),TbRegistroEntradas[[#This Row],[Data do Caixa Realizado]]=""),"Vencida","Não vencida")</f>
        <v>Não vencida</v>
      </c>
    </row>
    <row r="91" spans="2:17" x14ac:dyDescent="0.25">
      <c r="B91" s="13">
        <v>43221.091190775791</v>
      </c>
      <c r="C91" s="13">
        <v>43196</v>
      </c>
      <c r="D91" s="13">
        <v>43196</v>
      </c>
      <c r="E91" s="14" t="s">
        <v>0</v>
      </c>
      <c r="F91" s="14" t="s">
        <v>3</v>
      </c>
      <c r="G91" s="14" t="s">
        <v>169</v>
      </c>
      <c r="H91" s="15">
        <v>4467</v>
      </c>
      <c r="I91" s="14">
        <f>IF(TbRegistroEntradas[[#This Row],[Data do Caixa Realizado]]="",0,MONTH(TbRegistroEntradas[[#This Row],[Data do Caixa Realizado]]))</f>
        <v>5</v>
      </c>
      <c r="J91" s="14">
        <f>IF(TbRegistroEntradas[[#This Row],[Data do Caixa Realizado]]="",0,YEAR(TbRegistroEntradas[[#This Row],[Data do Caixa Realizado]]))</f>
        <v>2018</v>
      </c>
      <c r="K91" s="14">
        <f>IF(TbRegistroEntradas[[#This Row],[Data da Competência]]="",0,MONTH(TbRegistroEntradas[[#This Row],[Data da Competência]]))</f>
        <v>4</v>
      </c>
      <c r="L91" s="14">
        <f>IF(TbRegistroEntradas[[#This Row],[Data da Competência]]="",0,YEAR(TbRegistroEntradas[[#This Row],[Data da Competência]]))</f>
        <v>2018</v>
      </c>
      <c r="M91" s="14">
        <f>IF(TbRegistroEntradas[[#This Row],[Data do Caixa Previsto]]="",0,MONTH(TbRegistroEntradas[[#This Row],[Data do Caixa Previsto]]))</f>
        <v>4</v>
      </c>
      <c r="N91" s="14">
        <f>IF(TbRegistroEntradas[[#This Row],[Data do Caixa Previsto]]="",0,YEAR(TbRegistroEntradas[[#This Row],[Data do Caixa Previsto]]))</f>
        <v>2018</v>
      </c>
      <c r="O91" s="14" t="str">
        <f>IF(TbRegistroEntradas[[#This Row],[Data da Competência]]=TbRegistroEntradas[[#This Row],[Data do Caixa Previsto]],"Vista","Prazo")</f>
        <v>Vista</v>
      </c>
      <c r="P9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25.091190775790892</v>
      </c>
      <c r="Q91" s="14" t="str">
        <f ca="1">IF(AND(TbRegistroEntradas[[#This Row],[Data do Caixa Previsto]]&lt;TODAY(),TbRegistroEntradas[[#This Row],[Data do Caixa Realizado]]=""),"Vencida","Não vencida")</f>
        <v>Não vencida</v>
      </c>
    </row>
    <row r="92" spans="2:17" x14ac:dyDescent="0.25">
      <c r="B92" s="13">
        <v>43251.171133907985</v>
      </c>
      <c r="C92" s="13">
        <v>43199</v>
      </c>
      <c r="D92" s="13">
        <v>43251.171133907985</v>
      </c>
      <c r="E92" s="14" t="s">
        <v>0</v>
      </c>
      <c r="F92" s="14" t="s">
        <v>24</v>
      </c>
      <c r="G92" s="14" t="s">
        <v>170</v>
      </c>
      <c r="H92" s="15">
        <v>4262</v>
      </c>
      <c r="I92" s="14">
        <f>IF(TbRegistroEntradas[[#This Row],[Data do Caixa Realizado]]="",0,MONTH(TbRegistroEntradas[[#This Row],[Data do Caixa Realizado]]))</f>
        <v>5</v>
      </c>
      <c r="J92" s="14">
        <f>IF(TbRegistroEntradas[[#This Row],[Data do Caixa Realizado]]="",0,YEAR(TbRegistroEntradas[[#This Row],[Data do Caixa Realizado]]))</f>
        <v>2018</v>
      </c>
      <c r="K92" s="14">
        <f>IF(TbRegistroEntradas[[#This Row],[Data da Competência]]="",0,MONTH(TbRegistroEntradas[[#This Row],[Data da Competência]]))</f>
        <v>4</v>
      </c>
      <c r="L92" s="14">
        <f>IF(TbRegistroEntradas[[#This Row],[Data da Competência]]="",0,YEAR(TbRegistroEntradas[[#This Row],[Data da Competência]]))</f>
        <v>2018</v>
      </c>
      <c r="M92" s="14">
        <f>IF(TbRegistroEntradas[[#This Row],[Data do Caixa Previsto]]="",0,MONTH(TbRegistroEntradas[[#This Row],[Data do Caixa Previsto]]))</f>
        <v>5</v>
      </c>
      <c r="N92" s="14">
        <f>IF(TbRegistroEntradas[[#This Row],[Data do Caixa Previsto]]="",0,YEAR(TbRegistroEntradas[[#This Row],[Data do Caixa Previsto]]))</f>
        <v>2018</v>
      </c>
      <c r="O92" s="14" t="str">
        <f>IF(TbRegistroEntradas[[#This Row],[Data da Competência]]=TbRegistroEntradas[[#This Row],[Data do Caixa Previsto]],"Vista","Prazo")</f>
        <v>Prazo</v>
      </c>
      <c r="P9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92" s="14" t="str">
        <f ca="1">IF(AND(TbRegistroEntradas[[#This Row],[Data do Caixa Previsto]]&lt;TODAY(),TbRegistroEntradas[[#This Row],[Data do Caixa Realizado]]=""),"Vencida","Não vencida")</f>
        <v>Não vencida</v>
      </c>
    </row>
    <row r="93" spans="2:17" x14ac:dyDescent="0.25">
      <c r="B93" s="13">
        <v>43264.89293629631</v>
      </c>
      <c r="C93" s="13">
        <v>43201</v>
      </c>
      <c r="D93" s="13">
        <v>43260.535750034454</v>
      </c>
      <c r="E93" s="14" t="s">
        <v>0</v>
      </c>
      <c r="F93" s="14" t="s">
        <v>24</v>
      </c>
      <c r="G93" s="14" t="s">
        <v>171</v>
      </c>
      <c r="H93" s="15">
        <v>2593</v>
      </c>
      <c r="I93" s="14">
        <f>IF(TbRegistroEntradas[[#This Row],[Data do Caixa Realizado]]="",0,MONTH(TbRegistroEntradas[[#This Row],[Data do Caixa Realizado]]))</f>
        <v>6</v>
      </c>
      <c r="J93" s="14">
        <f>IF(TbRegistroEntradas[[#This Row],[Data do Caixa Realizado]]="",0,YEAR(TbRegistroEntradas[[#This Row],[Data do Caixa Realizado]]))</f>
        <v>2018</v>
      </c>
      <c r="K93" s="14">
        <f>IF(TbRegistroEntradas[[#This Row],[Data da Competência]]="",0,MONTH(TbRegistroEntradas[[#This Row],[Data da Competência]]))</f>
        <v>4</v>
      </c>
      <c r="L93" s="14">
        <f>IF(TbRegistroEntradas[[#This Row],[Data da Competência]]="",0,YEAR(TbRegistroEntradas[[#This Row],[Data da Competência]]))</f>
        <v>2018</v>
      </c>
      <c r="M93" s="14">
        <f>IF(TbRegistroEntradas[[#This Row],[Data do Caixa Previsto]]="",0,MONTH(TbRegistroEntradas[[#This Row],[Data do Caixa Previsto]]))</f>
        <v>6</v>
      </c>
      <c r="N93" s="14">
        <f>IF(TbRegistroEntradas[[#This Row],[Data do Caixa Previsto]]="",0,YEAR(TbRegistroEntradas[[#This Row],[Data do Caixa Previsto]]))</f>
        <v>2018</v>
      </c>
      <c r="O93" s="14" t="str">
        <f>IF(TbRegistroEntradas[[#This Row],[Data da Competência]]=TbRegistroEntradas[[#This Row],[Data do Caixa Previsto]],"Vista","Prazo")</f>
        <v>Prazo</v>
      </c>
      <c r="P9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4.3571862618555315</v>
      </c>
      <c r="Q93" s="14" t="str">
        <f ca="1">IF(AND(TbRegistroEntradas[[#This Row],[Data do Caixa Previsto]]&lt;TODAY(),TbRegistroEntradas[[#This Row],[Data do Caixa Realizado]]=""),"Vencida","Não vencida")</f>
        <v>Não vencida</v>
      </c>
    </row>
    <row r="94" spans="2:17" x14ac:dyDescent="0.25">
      <c r="B94" s="13">
        <v>43224.851474146271</v>
      </c>
      <c r="C94" s="13">
        <v>43204</v>
      </c>
      <c r="D94" s="13">
        <v>43224.851474146271</v>
      </c>
      <c r="E94" s="14" t="s">
        <v>0</v>
      </c>
      <c r="F94" s="14" t="s">
        <v>24</v>
      </c>
      <c r="G94" s="14" t="s">
        <v>172</v>
      </c>
      <c r="H94" s="15">
        <v>1885</v>
      </c>
      <c r="I94" s="14">
        <f>IF(TbRegistroEntradas[[#This Row],[Data do Caixa Realizado]]="",0,MONTH(TbRegistroEntradas[[#This Row],[Data do Caixa Realizado]]))</f>
        <v>5</v>
      </c>
      <c r="J94" s="14">
        <f>IF(TbRegistroEntradas[[#This Row],[Data do Caixa Realizado]]="",0,YEAR(TbRegistroEntradas[[#This Row],[Data do Caixa Realizado]]))</f>
        <v>2018</v>
      </c>
      <c r="K94" s="14">
        <f>IF(TbRegistroEntradas[[#This Row],[Data da Competência]]="",0,MONTH(TbRegistroEntradas[[#This Row],[Data da Competência]]))</f>
        <v>4</v>
      </c>
      <c r="L94" s="14">
        <f>IF(TbRegistroEntradas[[#This Row],[Data da Competência]]="",0,YEAR(TbRegistroEntradas[[#This Row],[Data da Competência]]))</f>
        <v>2018</v>
      </c>
      <c r="M94" s="14">
        <f>IF(TbRegistroEntradas[[#This Row],[Data do Caixa Previsto]]="",0,MONTH(TbRegistroEntradas[[#This Row],[Data do Caixa Previsto]]))</f>
        <v>5</v>
      </c>
      <c r="N94" s="14">
        <f>IF(TbRegistroEntradas[[#This Row],[Data do Caixa Previsto]]="",0,YEAR(TbRegistroEntradas[[#This Row],[Data do Caixa Previsto]]))</f>
        <v>2018</v>
      </c>
      <c r="O94" s="14" t="str">
        <f>IF(TbRegistroEntradas[[#This Row],[Data da Competência]]=TbRegistroEntradas[[#This Row],[Data do Caixa Previsto]],"Vista","Prazo")</f>
        <v>Prazo</v>
      </c>
      <c r="P9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94" s="14" t="str">
        <f ca="1">IF(AND(TbRegistroEntradas[[#This Row],[Data do Caixa Previsto]]&lt;TODAY(),TbRegistroEntradas[[#This Row],[Data do Caixa Realizado]]=""),"Vencida","Não vencida")</f>
        <v>Não vencida</v>
      </c>
    </row>
    <row r="95" spans="2:17" x14ac:dyDescent="0.25">
      <c r="B95" s="13" t="s">
        <v>92</v>
      </c>
      <c r="C95" s="13">
        <v>43209</v>
      </c>
      <c r="D95" s="13">
        <v>43209</v>
      </c>
      <c r="E95" s="14" t="s">
        <v>0</v>
      </c>
      <c r="F95" s="14" t="s">
        <v>24</v>
      </c>
      <c r="G95" s="14" t="s">
        <v>173</v>
      </c>
      <c r="H95" s="15">
        <v>2224</v>
      </c>
      <c r="I95" s="14">
        <f>IF(TbRegistroEntradas[[#This Row],[Data do Caixa Realizado]]="",0,MONTH(TbRegistroEntradas[[#This Row],[Data do Caixa Realizado]]))</f>
        <v>0</v>
      </c>
      <c r="J95" s="14">
        <f>IF(TbRegistroEntradas[[#This Row],[Data do Caixa Realizado]]="",0,YEAR(TbRegistroEntradas[[#This Row],[Data do Caixa Realizado]]))</f>
        <v>0</v>
      </c>
      <c r="K95" s="14">
        <f>IF(TbRegistroEntradas[[#This Row],[Data da Competência]]="",0,MONTH(TbRegistroEntradas[[#This Row],[Data da Competência]]))</f>
        <v>4</v>
      </c>
      <c r="L95" s="14">
        <f>IF(TbRegistroEntradas[[#This Row],[Data da Competência]]="",0,YEAR(TbRegistroEntradas[[#This Row],[Data da Competência]]))</f>
        <v>2018</v>
      </c>
      <c r="M95" s="14">
        <f>IF(TbRegistroEntradas[[#This Row],[Data do Caixa Previsto]]="",0,MONTH(TbRegistroEntradas[[#This Row],[Data do Caixa Previsto]]))</f>
        <v>4</v>
      </c>
      <c r="N95" s="14">
        <f>IF(TbRegistroEntradas[[#This Row],[Data do Caixa Previsto]]="",0,YEAR(TbRegistroEntradas[[#This Row],[Data do Caixa Previsto]]))</f>
        <v>2018</v>
      </c>
      <c r="O95" s="14" t="str">
        <f>IF(TbRegistroEntradas[[#This Row],[Data da Competência]]=TbRegistroEntradas[[#This Row],[Data do Caixa Previsto]],"Vista","Prazo")</f>
        <v>Vista</v>
      </c>
      <c r="P9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2185</v>
      </c>
      <c r="Q95" s="14" t="str">
        <f ca="1">IF(AND(TbRegistroEntradas[[#This Row],[Data do Caixa Previsto]]&lt;TODAY(),TbRegistroEntradas[[#This Row],[Data do Caixa Realizado]]=""),"Vencida","Não vencida")</f>
        <v>Vencida</v>
      </c>
    </row>
    <row r="96" spans="2:17" x14ac:dyDescent="0.25">
      <c r="B96" s="13">
        <v>43302.517348540277</v>
      </c>
      <c r="C96" s="13">
        <v>43213</v>
      </c>
      <c r="D96" s="13">
        <v>43234.087727619473</v>
      </c>
      <c r="E96" s="14" t="s">
        <v>0</v>
      </c>
      <c r="F96" s="14" t="s">
        <v>24</v>
      </c>
      <c r="G96" s="14" t="s">
        <v>174</v>
      </c>
      <c r="H96" s="15">
        <v>3223</v>
      </c>
      <c r="I96" s="14">
        <f>IF(TbRegistroEntradas[[#This Row],[Data do Caixa Realizado]]="",0,MONTH(TbRegistroEntradas[[#This Row],[Data do Caixa Realizado]]))</f>
        <v>7</v>
      </c>
      <c r="J96" s="14">
        <f>IF(TbRegistroEntradas[[#This Row],[Data do Caixa Realizado]]="",0,YEAR(TbRegistroEntradas[[#This Row],[Data do Caixa Realizado]]))</f>
        <v>2018</v>
      </c>
      <c r="K96" s="14">
        <f>IF(TbRegistroEntradas[[#This Row],[Data da Competência]]="",0,MONTH(TbRegistroEntradas[[#This Row],[Data da Competência]]))</f>
        <v>4</v>
      </c>
      <c r="L96" s="14">
        <f>IF(TbRegistroEntradas[[#This Row],[Data da Competência]]="",0,YEAR(TbRegistroEntradas[[#This Row],[Data da Competência]]))</f>
        <v>2018</v>
      </c>
      <c r="M96" s="14">
        <f>IF(TbRegistroEntradas[[#This Row],[Data do Caixa Previsto]]="",0,MONTH(TbRegistroEntradas[[#This Row],[Data do Caixa Previsto]]))</f>
        <v>5</v>
      </c>
      <c r="N96" s="14">
        <f>IF(TbRegistroEntradas[[#This Row],[Data do Caixa Previsto]]="",0,YEAR(TbRegistroEntradas[[#This Row],[Data do Caixa Previsto]]))</f>
        <v>2018</v>
      </c>
      <c r="O96" s="14" t="str">
        <f>IF(TbRegistroEntradas[[#This Row],[Data da Competência]]=TbRegistroEntradas[[#This Row],[Data do Caixa Previsto]],"Vista","Prazo")</f>
        <v>Prazo</v>
      </c>
      <c r="P9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68.429620920804155</v>
      </c>
      <c r="Q96" s="14" t="str">
        <f ca="1">IF(AND(TbRegistroEntradas[[#This Row],[Data do Caixa Previsto]]&lt;TODAY(),TbRegistroEntradas[[#This Row],[Data do Caixa Realizado]]=""),"Vencida","Não vencida")</f>
        <v>Não vencida</v>
      </c>
    </row>
    <row r="97" spans="2:17" x14ac:dyDescent="0.25">
      <c r="B97" s="13">
        <v>43299.933065152305</v>
      </c>
      <c r="C97" s="13">
        <v>43216</v>
      </c>
      <c r="D97" s="13">
        <v>43216</v>
      </c>
      <c r="E97" s="14" t="s">
        <v>0</v>
      </c>
      <c r="F97" s="14" t="s">
        <v>5</v>
      </c>
      <c r="G97" s="14" t="s">
        <v>175</v>
      </c>
      <c r="H97" s="15">
        <v>3446</v>
      </c>
      <c r="I97" s="14">
        <f>IF(TbRegistroEntradas[[#This Row],[Data do Caixa Realizado]]="",0,MONTH(TbRegistroEntradas[[#This Row],[Data do Caixa Realizado]]))</f>
        <v>7</v>
      </c>
      <c r="J97" s="14">
        <f>IF(TbRegistroEntradas[[#This Row],[Data do Caixa Realizado]]="",0,YEAR(TbRegistroEntradas[[#This Row],[Data do Caixa Realizado]]))</f>
        <v>2018</v>
      </c>
      <c r="K97" s="14">
        <f>IF(TbRegistroEntradas[[#This Row],[Data da Competência]]="",0,MONTH(TbRegistroEntradas[[#This Row],[Data da Competência]]))</f>
        <v>4</v>
      </c>
      <c r="L97" s="14">
        <f>IF(TbRegistroEntradas[[#This Row],[Data da Competência]]="",0,YEAR(TbRegistroEntradas[[#This Row],[Data da Competência]]))</f>
        <v>2018</v>
      </c>
      <c r="M97" s="14">
        <f>IF(TbRegistroEntradas[[#This Row],[Data do Caixa Previsto]]="",0,MONTH(TbRegistroEntradas[[#This Row],[Data do Caixa Previsto]]))</f>
        <v>4</v>
      </c>
      <c r="N97" s="14">
        <f>IF(TbRegistroEntradas[[#This Row],[Data do Caixa Previsto]]="",0,YEAR(TbRegistroEntradas[[#This Row],[Data do Caixa Previsto]]))</f>
        <v>2018</v>
      </c>
      <c r="O97" s="14" t="str">
        <f>IF(TbRegistroEntradas[[#This Row],[Data da Competência]]=TbRegistroEntradas[[#This Row],[Data do Caixa Previsto]],"Vista","Prazo")</f>
        <v>Vista</v>
      </c>
      <c r="P9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83.933065152305062</v>
      </c>
      <c r="Q97" s="14" t="str">
        <f ca="1">IF(AND(TbRegistroEntradas[[#This Row],[Data do Caixa Previsto]]&lt;TODAY(),TbRegistroEntradas[[#This Row],[Data do Caixa Realizado]]=""),"Vencida","Não vencida")</f>
        <v>Não vencida</v>
      </c>
    </row>
    <row r="98" spans="2:17" x14ac:dyDescent="0.25">
      <c r="B98" s="13">
        <v>43265.565544078599</v>
      </c>
      <c r="C98" s="13">
        <v>43220</v>
      </c>
      <c r="D98" s="13">
        <v>43220</v>
      </c>
      <c r="E98" s="14" t="s">
        <v>0</v>
      </c>
      <c r="F98" s="14" t="s">
        <v>24</v>
      </c>
      <c r="G98" s="14" t="s">
        <v>176</v>
      </c>
      <c r="H98" s="15">
        <v>4540</v>
      </c>
      <c r="I98" s="14">
        <f>IF(TbRegistroEntradas[[#This Row],[Data do Caixa Realizado]]="",0,MONTH(TbRegistroEntradas[[#This Row],[Data do Caixa Realizado]]))</f>
        <v>6</v>
      </c>
      <c r="J98" s="14">
        <f>IF(TbRegistroEntradas[[#This Row],[Data do Caixa Realizado]]="",0,YEAR(TbRegistroEntradas[[#This Row],[Data do Caixa Realizado]]))</f>
        <v>2018</v>
      </c>
      <c r="K98" s="14">
        <f>IF(TbRegistroEntradas[[#This Row],[Data da Competência]]="",0,MONTH(TbRegistroEntradas[[#This Row],[Data da Competência]]))</f>
        <v>4</v>
      </c>
      <c r="L98" s="14">
        <f>IF(TbRegistroEntradas[[#This Row],[Data da Competência]]="",0,YEAR(TbRegistroEntradas[[#This Row],[Data da Competência]]))</f>
        <v>2018</v>
      </c>
      <c r="M98" s="14">
        <f>IF(TbRegistroEntradas[[#This Row],[Data do Caixa Previsto]]="",0,MONTH(TbRegistroEntradas[[#This Row],[Data do Caixa Previsto]]))</f>
        <v>4</v>
      </c>
      <c r="N98" s="14">
        <f>IF(TbRegistroEntradas[[#This Row],[Data do Caixa Previsto]]="",0,YEAR(TbRegistroEntradas[[#This Row],[Data do Caixa Previsto]]))</f>
        <v>2018</v>
      </c>
      <c r="O98" s="14" t="str">
        <f>IF(TbRegistroEntradas[[#This Row],[Data da Competência]]=TbRegistroEntradas[[#This Row],[Data do Caixa Previsto]],"Vista","Prazo")</f>
        <v>Vista</v>
      </c>
      <c r="P9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45.565544078599487</v>
      </c>
      <c r="Q98" s="14" t="str">
        <f ca="1">IF(AND(TbRegistroEntradas[[#This Row],[Data do Caixa Previsto]]&lt;TODAY(),TbRegistroEntradas[[#This Row],[Data do Caixa Realizado]]=""),"Vencida","Não vencida")</f>
        <v>Não vencida</v>
      </c>
    </row>
    <row r="99" spans="2:17" x14ac:dyDescent="0.25">
      <c r="B99" s="13">
        <v>43330.643378541507</v>
      </c>
      <c r="C99" s="13">
        <v>43228</v>
      </c>
      <c r="D99" s="13">
        <v>43283.921086983224</v>
      </c>
      <c r="E99" s="14" t="s">
        <v>0</v>
      </c>
      <c r="F99" s="14" t="s">
        <v>49</v>
      </c>
      <c r="G99" s="14" t="s">
        <v>177</v>
      </c>
      <c r="H99" s="15">
        <v>3862</v>
      </c>
      <c r="I99" s="14">
        <f>IF(TbRegistroEntradas[[#This Row],[Data do Caixa Realizado]]="",0,MONTH(TbRegistroEntradas[[#This Row],[Data do Caixa Realizado]]))</f>
        <v>8</v>
      </c>
      <c r="J99" s="14">
        <f>IF(TbRegistroEntradas[[#This Row],[Data do Caixa Realizado]]="",0,YEAR(TbRegistroEntradas[[#This Row],[Data do Caixa Realizado]]))</f>
        <v>2018</v>
      </c>
      <c r="K99" s="14">
        <f>IF(TbRegistroEntradas[[#This Row],[Data da Competência]]="",0,MONTH(TbRegistroEntradas[[#This Row],[Data da Competência]]))</f>
        <v>5</v>
      </c>
      <c r="L99" s="14">
        <f>IF(TbRegistroEntradas[[#This Row],[Data da Competência]]="",0,YEAR(TbRegistroEntradas[[#This Row],[Data da Competência]]))</f>
        <v>2018</v>
      </c>
      <c r="M99" s="14">
        <f>IF(TbRegistroEntradas[[#This Row],[Data do Caixa Previsto]]="",0,MONTH(TbRegistroEntradas[[#This Row],[Data do Caixa Previsto]]))</f>
        <v>7</v>
      </c>
      <c r="N99" s="14">
        <f>IF(TbRegistroEntradas[[#This Row],[Data do Caixa Previsto]]="",0,YEAR(TbRegistroEntradas[[#This Row],[Data do Caixa Previsto]]))</f>
        <v>2018</v>
      </c>
      <c r="O99" s="14" t="str">
        <f>IF(TbRegistroEntradas[[#This Row],[Data da Competência]]=TbRegistroEntradas[[#This Row],[Data do Caixa Previsto]],"Vista","Prazo")</f>
        <v>Prazo</v>
      </c>
      <c r="P9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46.72229155828245</v>
      </c>
      <c r="Q99" s="14" t="str">
        <f ca="1">IF(AND(TbRegistroEntradas[[#This Row],[Data do Caixa Previsto]]&lt;TODAY(),TbRegistroEntradas[[#This Row],[Data do Caixa Realizado]]=""),"Vencida","Não vencida")</f>
        <v>Não vencida</v>
      </c>
    </row>
    <row r="100" spans="2:17" x14ac:dyDescent="0.25">
      <c r="B100" s="13">
        <v>43279.381017407846</v>
      </c>
      <c r="C100" s="13">
        <v>43231</v>
      </c>
      <c r="D100" s="13">
        <v>43279.381017407846</v>
      </c>
      <c r="E100" s="14" t="s">
        <v>0</v>
      </c>
      <c r="F100" s="14" t="s">
        <v>5</v>
      </c>
      <c r="G100" s="14" t="s">
        <v>178</v>
      </c>
      <c r="H100" s="15">
        <v>611</v>
      </c>
      <c r="I100" s="14">
        <f>IF(TbRegistroEntradas[[#This Row],[Data do Caixa Realizado]]="",0,MONTH(TbRegistroEntradas[[#This Row],[Data do Caixa Realizado]]))</f>
        <v>6</v>
      </c>
      <c r="J100" s="14">
        <f>IF(TbRegistroEntradas[[#This Row],[Data do Caixa Realizado]]="",0,YEAR(TbRegistroEntradas[[#This Row],[Data do Caixa Realizado]]))</f>
        <v>2018</v>
      </c>
      <c r="K100" s="14">
        <f>IF(TbRegistroEntradas[[#This Row],[Data da Competência]]="",0,MONTH(TbRegistroEntradas[[#This Row],[Data da Competência]]))</f>
        <v>5</v>
      </c>
      <c r="L100" s="14">
        <f>IF(TbRegistroEntradas[[#This Row],[Data da Competência]]="",0,YEAR(TbRegistroEntradas[[#This Row],[Data da Competência]]))</f>
        <v>2018</v>
      </c>
      <c r="M100" s="14">
        <f>IF(TbRegistroEntradas[[#This Row],[Data do Caixa Previsto]]="",0,MONTH(TbRegistroEntradas[[#This Row],[Data do Caixa Previsto]]))</f>
        <v>6</v>
      </c>
      <c r="N100" s="14">
        <f>IF(TbRegistroEntradas[[#This Row],[Data do Caixa Previsto]]="",0,YEAR(TbRegistroEntradas[[#This Row],[Data do Caixa Previsto]]))</f>
        <v>2018</v>
      </c>
      <c r="O100" s="14" t="str">
        <f>IF(TbRegistroEntradas[[#This Row],[Data da Competência]]=TbRegistroEntradas[[#This Row],[Data do Caixa Previsto]],"Vista","Prazo")</f>
        <v>Prazo</v>
      </c>
      <c r="P10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0" s="14" t="str">
        <f ca="1">IF(AND(TbRegistroEntradas[[#This Row],[Data do Caixa Previsto]]&lt;TODAY(),TbRegistroEntradas[[#This Row],[Data do Caixa Realizado]]=""),"Vencida","Não vencida")</f>
        <v>Não vencida</v>
      </c>
    </row>
    <row r="101" spans="2:17" x14ac:dyDescent="0.25">
      <c r="B101" s="13">
        <v>43285.463133098099</v>
      </c>
      <c r="C101" s="13">
        <v>43233</v>
      </c>
      <c r="D101" s="13">
        <v>43233</v>
      </c>
      <c r="E101" s="14" t="s">
        <v>0</v>
      </c>
      <c r="F101" s="14" t="s">
        <v>17</v>
      </c>
      <c r="G101" s="14" t="s">
        <v>179</v>
      </c>
      <c r="H101" s="15">
        <v>1486</v>
      </c>
      <c r="I101" s="14">
        <f>IF(TbRegistroEntradas[[#This Row],[Data do Caixa Realizado]]="",0,MONTH(TbRegistroEntradas[[#This Row],[Data do Caixa Realizado]]))</f>
        <v>7</v>
      </c>
      <c r="J101" s="14">
        <f>IF(TbRegistroEntradas[[#This Row],[Data do Caixa Realizado]]="",0,YEAR(TbRegistroEntradas[[#This Row],[Data do Caixa Realizado]]))</f>
        <v>2018</v>
      </c>
      <c r="K101" s="14">
        <f>IF(TbRegistroEntradas[[#This Row],[Data da Competência]]="",0,MONTH(TbRegistroEntradas[[#This Row],[Data da Competência]]))</f>
        <v>5</v>
      </c>
      <c r="L101" s="14">
        <f>IF(TbRegistroEntradas[[#This Row],[Data da Competência]]="",0,YEAR(TbRegistroEntradas[[#This Row],[Data da Competência]]))</f>
        <v>2018</v>
      </c>
      <c r="M101" s="14">
        <f>IF(TbRegistroEntradas[[#This Row],[Data do Caixa Previsto]]="",0,MONTH(TbRegistroEntradas[[#This Row],[Data do Caixa Previsto]]))</f>
        <v>5</v>
      </c>
      <c r="N101" s="14">
        <f>IF(TbRegistroEntradas[[#This Row],[Data do Caixa Previsto]]="",0,YEAR(TbRegistroEntradas[[#This Row],[Data do Caixa Previsto]]))</f>
        <v>2018</v>
      </c>
      <c r="O101" s="14" t="str">
        <f>IF(TbRegistroEntradas[[#This Row],[Data da Competência]]=TbRegistroEntradas[[#This Row],[Data do Caixa Previsto]],"Vista","Prazo")</f>
        <v>Vista</v>
      </c>
      <c r="P10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52.463133098099206</v>
      </c>
      <c r="Q101" s="14" t="str">
        <f ca="1">IF(AND(TbRegistroEntradas[[#This Row],[Data do Caixa Previsto]]&lt;TODAY(),TbRegistroEntradas[[#This Row],[Data do Caixa Realizado]]=""),"Vencida","Não vencida")</f>
        <v>Não vencida</v>
      </c>
    </row>
    <row r="102" spans="2:17" x14ac:dyDescent="0.25">
      <c r="B102" s="13">
        <v>43252.121501784946</v>
      </c>
      <c r="C102" s="13">
        <v>43241</v>
      </c>
      <c r="D102" s="13">
        <v>43252.121501784946</v>
      </c>
      <c r="E102" s="14" t="s">
        <v>0</v>
      </c>
      <c r="F102" s="14" t="s">
        <v>24</v>
      </c>
      <c r="G102" s="14" t="s">
        <v>180</v>
      </c>
      <c r="H102" s="15">
        <v>4850</v>
      </c>
      <c r="I102" s="14">
        <f>IF(TbRegistroEntradas[[#This Row],[Data do Caixa Realizado]]="",0,MONTH(TbRegistroEntradas[[#This Row],[Data do Caixa Realizado]]))</f>
        <v>6</v>
      </c>
      <c r="J102" s="14">
        <f>IF(TbRegistroEntradas[[#This Row],[Data do Caixa Realizado]]="",0,YEAR(TbRegistroEntradas[[#This Row],[Data do Caixa Realizado]]))</f>
        <v>2018</v>
      </c>
      <c r="K102" s="14">
        <f>IF(TbRegistroEntradas[[#This Row],[Data da Competência]]="",0,MONTH(TbRegistroEntradas[[#This Row],[Data da Competência]]))</f>
        <v>5</v>
      </c>
      <c r="L102" s="14">
        <f>IF(TbRegistroEntradas[[#This Row],[Data da Competência]]="",0,YEAR(TbRegistroEntradas[[#This Row],[Data da Competência]]))</f>
        <v>2018</v>
      </c>
      <c r="M102" s="14">
        <f>IF(TbRegistroEntradas[[#This Row],[Data do Caixa Previsto]]="",0,MONTH(TbRegistroEntradas[[#This Row],[Data do Caixa Previsto]]))</f>
        <v>6</v>
      </c>
      <c r="N102" s="14">
        <f>IF(TbRegistroEntradas[[#This Row],[Data do Caixa Previsto]]="",0,YEAR(TbRegistroEntradas[[#This Row],[Data do Caixa Previsto]]))</f>
        <v>2018</v>
      </c>
      <c r="O102" s="14" t="str">
        <f>IF(TbRegistroEntradas[[#This Row],[Data da Competência]]=TbRegistroEntradas[[#This Row],[Data do Caixa Previsto]],"Vista","Prazo")</f>
        <v>Prazo</v>
      </c>
      <c r="P10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2" s="14" t="str">
        <f ca="1">IF(AND(TbRegistroEntradas[[#This Row],[Data do Caixa Previsto]]&lt;TODAY(),TbRegistroEntradas[[#This Row],[Data do Caixa Realizado]]=""),"Vencida","Não vencida")</f>
        <v>Não vencida</v>
      </c>
    </row>
    <row r="103" spans="2:17" x14ac:dyDescent="0.25">
      <c r="B103" s="13" t="s">
        <v>92</v>
      </c>
      <c r="C103" s="13">
        <v>43244</v>
      </c>
      <c r="D103" s="13">
        <v>43275.457463184524</v>
      </c>
      <c r="E103" s="14" t="s">
        <v>0</v>
      </c>
      <c r="F103" s="14" t="s">
        <v>17</v>
      </c>
      <c r="G103" s="14" t="s">
        <v>119</v>
      </c>
      <c r="H103" s="15">
        <v>3878</v>
      </c>
      <c r="I103" s="14">
        <f>IF(TbRegistroEntradas[[#This Row],[Data do Caixa Realizado]]="",0,MONTH(TbRegistroEntradas[[#This Row],[Data do Caixa Realizado]]))</f>
        <v>0</v>
      </c>
      <c r="J103" s="14">
        <f>IF(TbRegistroEntradas[[#This Row],[Data do Caixa Realizado]]="",0,YEAR(TbRegistroEntradas[[#This Row],[Data do Caixa Realizado]]))</f>
        <v>0</v>
      </c>
      <c r="K103" s="14">
        <f>IF(TbRegistroEntradas[[#This Row],[Data da Competência]]="",0,MONTH(TbRegistroEntradas[[#This Row],[Data da Competência]]))</f>
        <v>5</v>
      </c>
      <c r="L103" s="14">
        <f>IF(TbRegistroEntradas[[#This Row],[Data da Competência]]="",0,YEAR(TbRegistroEntradas[[#This Row],[Data da Competência]]))</f>
        <v>2018</v>
      </c>
      <c r="M103" s="14">
        <f>IF(TbRegistroEntradas[[#This Row],[Data do Caixa Previsto]]="",0,MONTH(TbRegistroEntradas[[#This Row],[Data do Caixa Previsto]]))</f>
        <v>6</v>
      </c>
      <c r="N103" s="14">
        <f>IF(TbRegistroEntradas[[#This Row],[Data do Caixa Previsto]]="",0,YEAR(TbRegistroEntradas[[#This Row],[Data do Caixa Previsto]]))</f>
        <v>2018</v>
      </c>
      <c r="O103" s="14" t="str">
        <f>IF(TbRegistroEntradas[[#This Row],[Data da Competência]]=TbRegistroEntradas[[#This Row],[Data do Caixa Previsto]],"Vista","Prazo")</f>
        <v>Prazo</v>
      </c>
      <c r="P10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2118.5425368154756</v>
      </c>
      <c r="Q103" s="14" t="str">
        <f ca="1">IF(AND(TbRegistroEntradas[[#This Row],[Data do Caixa Previsto]]&lt;TODAY(),TbRegistroEntradas[[#This Row],[Data do Caixa Realizado]]=""),"Vencida","Não vencida")</f>
        <v>Vencida</v>
      </c>
    </row>
    <row r="104" spans="2:17" x14ac:dyDescent="0.25">
      <c r="B104" s="13">
        <v>43275.663970819842</v>
      </c>
      <c r="C104" s="13">
        <v>43249</v>
      </c>
      <c r="D104" s="13">
        <v>43275.663970819842</v>
      </c>
      <c r="E104" s="14" t="s">
        <v>0</v>
      </c>
      <c r="F104" s="14" t="s">
        <v>17</v>
      </c>
      <c r="G104" s="14" t="s">
        <v>181</v>
      </c>
      <c r="H104" s="15">
        <v>976</v>
      </c>
      <c r="I104" s="14">
        <f>IF(TbRegistroEntradas[[#This Row],[Data do Caixa Realizado]]="",0,MONTH(TbRegistroEntradas[[#This Row],[Data do Caixa Realizado]]))</f>
        <v>6</v>
      </c>
      <c r="J104" s="14">
        <f>IF(TbRegistroEntradas[[#This Row],[Data do Caixa Realizado]]="",0,YEAR(TbRegistroEntradas[[#This Row],[Data do Caixa Realizado]]))</f>
        <v>2018</v>
      </c>
      <c r="K104" s="14">
        <f>IF(TbRegistroEntradas[[#This Row],[Data da Competência]]="",0,MONTH(TbRegistroEntradas[[#This Row],[Data da Competência]]))</f>
        <v>5</v>
      </c>
      <c r="L104" s="14">
        <f>IF(TbRegistroEntradas[[#This Row],[Data da Competência]]="",0,YEAR(TbRegistroEntradas[[#This Row],[Data da Competência]]))</f>
        <v>2018</v>
      </c>
      <c r="M104" s="14">
        <f>IF(TbRegistroEntradas[[#This Row],[Data do Caixa Previsto]]="",0,MONTH(TbRegistroEntradas[[#This Row],[Data do Caixa Previsto]]))</f>
        <v>6</v>
      </c>
      <c r="N104" s="14">
        <f>IF(TbRegistroEntradas[[#This Row],[Data do Caixa Previsto]]="",0,YEAR(TbRegistroEntradas[[#This Row],[Data do Caixa Previsto]]))</f>
        <v>2018</v>
      </c>
      <c r="O104" s="14" t="str">
        <f>IF(TbRegistroEntradas[[#This Row],[Data da Competência]]=TbRegistroEntradas[[#This Row],[Data do Caixa Previsto]],"Vista","Prazo")</f>
        <v>Prazo</v>
      </c>
      <c r="P10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4" s="14" t="str">
        <f ca="1">IF(AND(TbRegistroEntradas[[#This Row],[Data do Caixa Previsto]]&lt;TODAY(),TbRegistroEntradas[[#This Row],[Data do Caixa Realizado]]=""),"Vencida","Não vencida")</f>
        <v>Não vencida</v>
      </c>
    </row>
    <row r="105" spans="2:17" x14ac:dyDescent="0.25">
      <c r="B105" s="13">
        <v>43265.40932974538</v>
      </c>
      <c r="C105" s="13">
        <v>43250</v>
      </c>
      <c r="D105" s="13">
        <v>43265.40932974538</v>
      </c>
      <c r="E105" s="14" t="s">
        <v>0</v>
      </c>
      <c r="F105" s="14" t="s">
        <v>49</v>
      </c>
      <c r="G105" s="14" t="s">
        <v>182</v>
      </c>
      <c r="H105" s="15">
        <v>3346</v>
      </c>
      <c r="I105" s="14">
        <f>IF(TbRegistroEntradas[[#This Row],[Data do Caixa Realizado]]="",0,MONTH(TbRegistroEntradas[[#This Row],[Data do Caixa Realizado]]))</f>
        <v>6</v>
      </c>
      <c r="J105" s="14">
        <f>IF(TbRegistroEntradas[[#This Row],[Data do Caixa Realizado]]="",0,YEAR(TbRegistroEntradas[[#This Row],[Data do Caixa Realizado]]))</f>
        <v>2018</v>
      </c>
      <c r="K105" s="14">
        <f>IF(TbRegistroEntradas[[#This Row],[Data da Competência]]="",0,MONTH(TbRegistroEntradas[[#This Row],[Data da Competência]]))</f>
        <v>5</v>
      </c>
      <c r="L105" s="14">
        <f>IF(TbRegistroEntradas[[#This Row],[Data da Competência]]="",0,YEAR(TbRegistroEntradas[[#This Row],[Data da Competência]]))</f>
        <v>2018</v>
      </c>
      <c r="M105" s="14">
        <f>IF(TbRegistroEntradas[[#This Row],[Data do Caixa Previsto]]="",0,MONTH(TbRegistroEntradas[[#This Row],[Data do Caixa Previsto]]))</f>
        <v>6</v>
      </c>
      <c r="N105" s="14">
        <f>IF(TbRegistroEntradas[[#This Row],[Data do Caixa Previsto]]="",0,YEAR(TbRegistroEntradas[[#This Row],[Data do Caixa Previsto]]))</f>
        <v>2018</v>
      </c>
      <c r="O105" s="14" t="str">
        <f>IF(TbRegistroEntradas[[#This Row],[Data da Competência]]=TbRegistroEntradas[[#This Row],[Data do Caixa Previsto]],"Vista","Prazo")</f>
        <v>Prazo</v>
      </c>
      <c r="P10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5" s="14" t="str">
        <f ca="1">IF(AND(TbRegistroEntradas[[#This Row],[Data do Caixa Previsto]]&lt;TODAY(),TbRegistroEntradas[[#This Row],[Data do Caixa Realizado]]=""),"Vencida","Não vencida")</f>
        <v>Não vencida</v>
      </c>
    </row>
    <row r="106" spans="2:17" x14ac:dyDescent="0.25">
      <c r="B106" s="13">
        <v>43313.778330733978</v>
      </c>
      <c r="C106" s="13">
        <v>43254</v>
      </c>
      <c r="D106" s="13">
        <v>43313.778330733978</v>
      </c>
      <c r="E106" s="14" t="s">
        <v>0</v>
      </c>
      <c r="F106" s="14" t="s">
        <v>5</v>
      </c>
      <c r="G106" s="14" t="s">
        <v>183</v>
      </c>
      <c r="H106" s="15">
        <v>443</v>
      </c>
      <c r="I106" s="14">
        <f>IF(TbRegistroEntradas[[#This Row],[Data do Caixa Realizado]]="",0,MONTH(TbRegistroEntradas[[#This Row],[Data do Caixa Realizado]]))</f>
        <v>8</v>
      </c>
      <c r="J106" s="14">
        <f>IF(TbRegistroEntradas[[#This Row],[Data do Caixa Realizado]]="",0,YEAR(TbRegistroEntradas[[#This Row],[Data do Caixa Realizado]]))</f>
        <v>2018</v>
      </c>
      <c r="K106" s="14">
        <f>IF(TbRegistroEntradas[[#This Row],[Data da Competência]]="",0,MONTH(TbRegistroEntradas[[#This Row],[Data da Competência]]))</f>
        <v>6</v>
      </c>
      <c r="L106" s="14">
        <f>IF(TbRegistroEntradas[[#This Row],[Data da Competência]]="",0,YEAR(TbRegistroEntradas[[#This Row],[Data da Competência]]))</f>
        <v>2018</v>
      </c>
      <c r="M106" s="14">
        <f>IF(TbRegistroEntradas[[#This Row],[Data do Caixa Previsto]]="",0,MONTH(TbRegistroEntradas[[#This Row],[Data do Caixa Previsto]]))</f>
        <v>8</v>
      </c>
      <c r="N106" s="14">
        <f>IF(TbRegistroEntradas[[#This Row],[Data do Caixa Previsto]]="",0,YEAR(TbRegistroEntradas[[#This Row],[Data do Caixa Previsto]]))</f>
        <v>2018</v>
      </c>
      <c r="O106" s="14" t="str">
        <f>IF(TbRegistroEntradas[[#This Row],[Data da Competência]]=TbRegistroEntradas[[#This Row],[Data do Caixa Previsto]],"Vista","Prazo")</f>
        <v>Prazo</v>
      </c>
      <c r="P10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6" s="14" t="str">
        <f ca="1">IF(AND(TbRegistroEntradas[[#This Row],[Data do Caixa Previsto]]&lt;TODAY(),TbRegistroEntradas[[#This Row],[Data do Caixa Realizado]]=""),"Vencida","Não vencida")</f>
        <v>Não vencida</v>
      </c>
    </row>
    <row r="107" spans="2:17" x14ac:dyDescent="0.25">
      <c r="B107" s="13">
        <v>43309.034479812522</v>
      </c>
      <c r="C107" s="13">
        <v>43255</v>
      </c>
      <c r="D107" s="13">
        <v>43255</v>
      </c>
      <c r="E107" s="14" t="s">
        <v>0</v>
      </c>
      <c r="F107" s="14" t="s">
        <v>5</v>
      </c>
      <c r="G107" s="14" t="s">
        <v>184</v>
      </c>
      <c r="H107" s="15">
        <v>2781</v>
      </c>
      <c r="I107" s="14">
        <f>IF(TbRegistroEntradas[[#This Row],[Data do Caixa Realizado]]="",0,MONTH(TbRegistroEntradas[[#This Row],[Data do Caixa Realizado]]))</f>
        <v>7</v>
      </c>
      <c r="J107" s="14">
        <f>IF(TbRegistroEntradas[[#This Row],[Data do Caixa Realizado]]="",0,YEAR(TbRegistroEntradas[[#This Row],[Data do Caixa Realizado]]))</f>
        <v>2018</v>
      </c>
      <c r="K107" s="14">
        <f>IF(TbRegistroEntradas[[#This Row],[Data da Competência]]="",0,MONTH(TbRegistroEntradas[[#This Row],[Data da Competência]]))</f>
        <v>6</v>
      </c>
      <c r="L107" s="14">
        <f>IF(TbRegistroEntradas[[#This Row],[Data da Competência]]="",0,YEAR(TbRegistroEntradas[[#This Row],[Data da Competência]]))</f>
        <v>2018</v>
      </c>
      <c r="M107" s="14">
        <f>IF(TbRegistroEntradas[[#This Row],[Data do Caixa Previsto]]="",0,MONTH(TbRegistroEntradas[[#This Row],[Data do Caixa Previsto]]))</f>
        <v>6</v>
      </c>
      <c r="N107" s="14">
        <f>IF(TbRegistroEntradas[[#This Row],[Data do Caixa Previsto]]="",0,YEAR(TbRegistroEntradas[[#This Row],[Data do Caixa Previsto]]))</f>
        <v>2018</v>
      </c>
      <c r="O107" s="14" t="str">
        <f>IF(TbRegistroEntradas[[#This Row],[Data da Competência]]=TbRegistroEntradas[[#This Row],[Data do Caixa Previsto]],"Vista","Prazo")</f>
        <v>Vista</v>
      </c>
      <c r="P10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54.034479812522477</v>
      </c>
      <c r="Q107" s="14" t="str">
        <f ca="1">IF(AND(TbRegistroEntradas[[#This Row],[Data do Caixa Previsto]]&lt;TODAY(),TbRegistroEntradas[[#This Row],[Data do Caixa Realizado]]=""),"Vencida","Não vencida")</f>
        <v>Não vencida</v>
      </c>
    </row>
    <row r="108" spans="2:17" x14ac:dyDescent="0.25">
      <c r="B108" s="13">
        <v>43267.639792395334</v>
      </c>
      <c r="C108" s="13">
        <v>43256</v>
      </c>
      <c r="D108" s="13">
        <v>43267.639792395334</v>
      </c>
      <c r="E108" s="14" t="s">
        <v>0</v>
      </c>
      <c r="F108" s="14" t="s">
        <v>17</v>
      </c>
      <c r="G108" s="14" t="s">
        <v>185</v>
      </c>
      <c r="H108" s="15">
        <v>1875</v>
      </c>
      <c r="I108" s="14">
        <f>IF(TbRegistroEntradas[[#This Row],[Data do Caixa Realizado]]="",0,MONTH(TbRegistroEntradas[[#This Row],[Data do Caixa Realizado]]))</f>
        <v>6</v>
      </c>
      <c r="J108" s="14">
        <f>IF(TbRegistroEntradas[[#This Row],[Data do Caixa Realizado]]="",0,YEAR(TbRegistroEntradas[[#This Row],[Data do Caixa Realizado]]))</f>
        <v>2018</v>
      </c>
      <c r="K108" s="14">
        <f>IF(TbRegistroEntradas[[#This Row],[Data da Competência]]="",0,MONTH(TbRegistroEntradas[[#This Row],[Data da Competência]]))</f>
        <v>6</v>
      </c>
      <c r="L108" s="14">
        <f>IF(TbRegistroEntradas[[#This Row],[Data da Competência]]="",0,YEAR(TbRegistroEntradas[[#This Row],[Data da Competência]]))</f>
        <v>2018</v>
      </c>
      <c r="M108" s="14">
        <f>IF(TbRegistroEntradas[[#This Row],[Data do Caixa Previsto]]="",0,MONTH(TbRegistroEntradas[[#This Row],[Data do Caixa Previsto]]))</f>
        <v>6</v>
      </c>
      <c r="N108" s="14">
        <f>IF(TbRegistroEntradas[[#This Row],[Data do Caixa Previsto]]="",0,YEAR(TbRegistroEntradas[[#This Row],[Data do Caixa Previsto]]))</f>
        <v>2018</v>
      </c>
      <c r="O108" s="14" t="str">
        <f>IF(TbRegistroEntradas[[#This Row],[Data da Competência]]=TbRegistroEntradas[[#This Row],[Data do Caixa Previsto]],"Vista","Prazo")</f>
        <v>Prazo</v>
      </c>
      <c r="P10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8" s="14" t="str">
        <f ca="1">IF(AND(TbRegistroEntradas[[#This Row],[Data do Caixa Previsto]]&lt;TODAY(),TbRegistroEntradas[[#This Row],[Data do Caixa Realizado]]=""),"Vencida","Não vencida")</f>
        <v>Não vencida</v>
      </c>
    </row>
    <row r="109" spans="2:17" x14ac:dyDescent="0.25">
      <c r="B109" s="13">
        <v>43295.992726264638</v>
      </c>
      <c r="C109" s="13">
        <v>43259</v>
      </c>
      <c r="D109" s="13">
        <v>43259</v>
      </c>
      <c r="E109" s="14" t="s">
        <v>0</v>
      </c>
      <c r="F109" s="14" t="s">
        <v>24</v>
      </c>
      <c r="G109" s="14" t="s">
        <v>186</v>
      </c>
      <c r="H109" s="15">
        <v>3134</v>
      </c>
      <c r="I109" s="14">
        <f>IF(TbRegistroEntradas[[#This Row],[Data do Caixa Realizado]]="",0,MONTH(TbRegistroEntradas[[#This Row],[Data do Caixa Realizado]]))</f>
        <v>7</v>
      </c>
      <c r="J109" s="14">
        <f>IF(TbRegistroEntradas[[#This Row],[Data do Caixa Realizado]]="",0,YEAR(TbRegistroEntradas[[#This Row],[Data do Caixa Realizado]]))</f>
        <v>2018</v>
      </c>
      <c r="K109" s="14">
        <f>IF(TbRegistroEntradas[[#This Row],[Data da Competência]]="",0,MONTH(TbRegistroEntradas[[#This Row],[Data da Competência]]))</f>
        <v>6</v>
      </c>
      <c r="L109" s="14">
        <f>IF(TbRegistroEntradas[[#This Row],[Data da Competência]]="",0,YEAR(TbRegistroEntradas[[#This Row],[Data da Competência]]))</f>
        <v>2018</v>
      </c>
      <c r="M109" s="14">
        <f>IF(TbRegistroEntradas[[#This Row],[Data do Caixa Previsto]]="",0,MONTH(TbRegistroEntradas[[#This Row],[Data do Caixa Previsto]]))</f>
        <v>6</v>
      </c>
      <c r="N109" s="14">
        <f>IF(TbRegistroEntradas[[#This Row],[Data do Caixa Previsto]]="",0,YEAR(TbRegistroEntradas[[#This Row],[Data do Caixa Previsto]]))</f>
        <v>2018</v>
      </c>
      <c r="O109" s="14" t="str">
        <f>IF(TbRegistroEntradas[[#This Row],[Data da Competência]]=TbRegistroEntradas[[#This Row],[Data do Caixa Previsto]],"Vista","Prazo")</f>
        <v>Vista</v>
      </c>
      <c r="P10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36.992726264637895</v>
      </c>
      <c r="Q109" s="14" t="str">
        <f ca="1">IF(AND(TbRegistroEntradas[[#This Row],[Data do Caixa Previsto]]&lt;TODAY(),TbRegistroEntradas[[#This Row],[Data do Caixa Realizado]]=""),"Vencida","Não vencida")</f>
        <v>Não vencida</v>
      </c>
    </row>
    <row r="110" spans="2:17" x14ac:dyDescent="0.25">
      <c r="B110" s="13">
        <v>43276.511490365912</v>
      </c>
      <c r="C110" s="13">
        <v>43261</v>
      </c>
      <c r="D110" s="13">
        <v>43276.511490365912</v>
      </c>
      <c r="E110" s="14" t="s">
        <v>0</v>
      </c>
      <c r="F110" s="14" t="s">
        <v>3</v>
      </c>
      <c r="G110" s="14" t="s">
        <v>187</v>
      </c>
      <c r="H110" s="15">
        <v>2114</v>
      </c>
      <c r="I110" s="14">
        <f>IF(TbRegistroEntradas[[#This Row],[Data do Caixa Realizado]]="",0,MONTH(TbRegistroEntradas[[#This Row],[Data do Caixa Realizado]]))</f>
        <v>6</v>
      </c>
      <c r="J110" s="14">
        <f>IF(TbRegistroEntradas[[#This Row],[Data do Caixa Realizado]]="",0,YEAR(TbRegistroEntradas[[#This Row],[Data do Caixa Realizado]]))</f>
        <v>2018</v>
      </c>
      <c r="K110" s="14">
        <f>IF(TbRegistroEntradas[[#This Row],[Data da Competência]]="",0,MONTH(TbRegistroEntradas[[#This Row],[Data da Competência]]))</f>
        <v>6</v>
      </c>
      <c r="L110" s="14">
        <f>IF(TbRegistroEntradas[[#This Row],[Data da Competência]]="",0,YEAR(TbRegistroEntradas[[#This Row],[Data da Competência]]))</f>
        <v>2018</v>
      </c>
      <c r="M110" s="14">
        <f>IF(TbRegistroEntradas[[#This Row],[Data do Caixa Previsto]]="",0,MONTH(TbRegistroEntradas[[#This Row],[Data do Caixa Previsto]]))</f>
        <v>6</v>
      </c>
      <c r="N110" s="14">
        <f>IF(TbRegistroEntradas[[#This Row],[Data do Caixa Previsto]]="",0,YEAR(TbRegistroEntradas[[#This Row],[Data do Caixa Previsto]]))</f>
        <v>2018</v>
      </c>
      <c r="O110" s="14" t="str">
        <f>IF(TbRegistroEntradas[[#This Row],[Data da Competência]]=TbRegistroEntradas[[#This Row],[Data do Caixa Previsto]],"Vista","Prazo")</f>
        <v>Prazo</v>
      </c>
      <c r="P11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0" s="14" t="str">
        <f ca="1">IF(AND(TbRegistroEntradas[[#This Row],[Data do Caixa Previsto]]&lt;TODAY(),TbRegistroEntradas[[#This Row],[Data do Caixa Realizado]]=""),"Vencida","Não vencida")</f>
        <v>Não vencida</v>
      </c>
    </row>
    <row r="111" spans="2:17" x14ac:dyDescent="0.25">
      <c r="B111" s="13">
        <v>43320.151513939236</v>
      </c>
      <c r="C111" s="13">
        <v>43264</v>
      </c>
      <c r="D111" s="13">
        <v>43320.151513939236</v>
      </c>
      <c r="E111" s="14" t="s">
        <v>0</v>
      </c>
      <c r="F111" s="14" t="s">
        <v>17</v>
      </c>
      <c r="G111" s="14" t="s">
        <v>188</v>
      </c>
      <c r="H111" s="15">
        <v>4961</v>
      </c>
      <c r="I111" s="14">
        <f>IF(TbRegistroEntradas[[#This Row],[Data do Caixa Realizado]]="",0,MONTH(TbRegistroEntradas[[#This Row],[Data do Caixa Realizado]]))</f>
        <v>8</v>
      </c>
      <c r="J111" s="14">
        <f>IF(TbRegistroEntradas[[#This Row],[Data do Caixa Realizado]]="",0,YEAR(TbRegistroEntradas[[#This Row],[Data do Caixa Realizado]]))</f>
        <v>2018</v>
      </c>
      <c r="K111" s="14">
        <f>IF(TbRegistroEntradas[[#This Row],[Data da Competência]]="",0,MONTH(TbRegistroEntradas[[#This Row],[Data da Competência]]))</f>
        <v>6</v>
      </c>
      <c r="L111" s="14">
        <f>IF(TbRegistroEntradas[[#This Row],[Data da Competência]]="",0,YEAR(TbRegistroEntradas[[#This Row],[Data da Competência]]))</f>
        <v>2018</v>
      </c>
      <c r="M111" s="14">
        <f>IF(TbRegistroEntradas[[#This Row],[Data do Caixa Previsto]]="",0,MONTH(TbRegistroEntradas[[#This Row],[Data do Caixa Previsto]]))</f>
        <v>8</v>
      </c>
      <c r="N111" s="14">
        <f>IF(TbRegistroEntradas[[#This Row],[Data do Caixa Previsto]]="",0,YEAR(TbRegistroEntradas[[#This Row],[Data do Caixa Previsto]]))</f>
        <v>2018</v>
      </c>
      <c r="O111" s="14" t="str">
        <f>IF(TbRegistroEntradas[[#This Row],[Data da Competência]]=TbRegistroEntradas[[#This Row],[Data do Caixa Previsto]],"Vista","Prazo")</f>
        <v>Prazo</v>
      </c>
      <c r="P11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1" s="14" t="str">
        <f ca="1">IF(AND(TbRegistroEntradas[[#This Row],[Data do Caixa Previsto]]&lt;TODAY(),TbRegistroEntradas[[#This Row],[Data do Caixa Realizado]]=""),"Vencida","Não vencida")</f>
        <v>Não vencida</v>
      </c>
    </row>
    <row r="112" spans="2:17" x14ac:dyDescent="0.25">
      <c r="B112" s="13">
        <v>43303.335943391627</v>
      </c>
      <c r="C112" s="13">
        <v>43265</v>
      </c>
      <c r="D112" s="13">
        <v>43303.335943391627</v>
      </c>
      <c r="E112" s="14" t="s">
        <v>0</v>
      </c>
      <c r="F112" s="14" t="s">
        <v>24</v>
      </c>
      <c r="G112" s="14" t="s">
        <v>189</v>
      </c>
      <c r="H112" s="15">
        <v>909</v>
      </c>
      <c r="I112" s="14">
        <f>IF(TbRegistroEntradas[[#This Row],[Data do Caixa Realizado]]="",0,MONTH(TbRegistroEntradas[[#This Row],[Data do Caixa Realizado]]))</f>
        <v>7</v>
      </c>
      <c r="J112" s="14">
        <f>IF(TbRegistroEntradas[[#This Row],[Data do Caixa Realizado]]="",0,YEAR(TbRegistroEntradas[[#This Row],[Data do Caixa Realizado]]))</f>
        <v>2018</v>
      </c>
      <c r="K112" s="14">
        <f>IF(TbRegistroEntradas[[#This Row],[Data da Competência]]="",0,MONTH(TbRegistroEntradas[[#This Row],[Data da Competência]]))</f>
        <v>6</v>
      </c>
      <c r="L112" s="14">
        <f>IF(TbRegistroEntradas[[#This Row],[Data da Competência]]="",0,YEAR(TbRegistroEntradas[[#This Row],[Data da Competência]]))</f>
        <v>2018</v>
      </c>
      <c r="M112" s="14">
        <f>IF(TbRegistroEntradas[[#This Row],[Data do Caixa Previsto]]="",0,MONTH(TbRegistroEntradas[[#This Row],[Data do Caixa Previsto]]))</f>
        <v>7</v>
      </c>
      <c r="N112" s="14">
        <f>IF(TbRegistroEntradas[[#This Row],[Data do Caixa Previsto]]="",0,YEAR(TbRegistroEntradas[[#This Row],[Data do Caixa Previsto]]))</f>
        <v>2018</v>
      </c>
      <c r="O112" s="14" t="str">
        <f>IF(TbRegistroEntradas[[#This Row],[Data da Competência]]=TbRegistroEntradas[[#This Row],[Data do Caixa Previsto]],"Vista","Prazo")</f>
        <v>Prazo</v>
      </c>
      <c r="P11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2" s="14" t="str">
        <f ca="1">IF(AND(TbRegistroEntradas[[#This Row],[Data do Caixa Previsto]]&lt;TODAY(),TbRegistroEntradas[[#This Row],[Data do Caixa Realizado]]=""),"Vencida","Não vencida")</f>
        <v>Não vencida</v>
      </c>
    </row>
    <row r="113" spans="2:17" x14ac:dyDescent="0.25">
      <c r="B113" s="13">
        <v>43293.385542692129</v>
      </c>
      <c r="C113" s="13">
        <v>43266</v>
      </c>
      <c r="D113" s="13">
        <v>43293.385542692129</v>
      </c>
      <c r="E113" s="14" t="s">
        <v>0</v>
      </c>
      <c r="F113" s="14" t="s">
        <v>24</v>
      </c>
      <c r="G113" s="14" t="s">
        <v>190</v>
      </c>
      <c r="H113" s="15">
        <v>2197</v>
      </c>
      <c r="I113" s="14">
        <f>IF(TbRegistroEntradas[[#This Row],[Data do Caixa Realizado]]="",0,MONTH(TbRegistroEntradas[[#This Row],[Data do Caixa Realizado]]))</f>
        <v>7</v>
      </c>
      <c r="J113" s="14">
        <f>IF(TbRegistroEntradas[[#This Row],[Data do Caixa Realizado]]="",0,YEAR(TbRegistroEntradas[[#This Row],[Data do Caixa Realizado]]))</f>
        <v>2018</v>
      </c>
      <c r="K113" s="14">
        <f>IF(TbRegistroEntradas[[#This Row],[Data da Competência]]="",0,MONTH(TbRegistroEntradas[[#This Row],[Data da Competência]]))</f>
        <v>6</v>
      </c>
      <c r="L113" s="14">
        <f>IF(TbRegistroEntradas[[#This Row],[Data da Competência]]="",0,YEAR(TbRegistroEntradas[[#This Row],[Data da Competência]]))</f>
        <v>2018</v>
      </c>
      <c r="M113" s="14">
        <f>IF(TbRegistroEntradas[[#This Row],[Data do Caixa Previsto]]="",0,MONTH(TbRegistroEntradas[[#This Row],[Data do Caixa Previsto]]))</f>
        <v>7</v>
      </c>
      <c r="N113" s="14">
        <f>IF(TbRegistroEntradas[[#This Row],[Data do Caixa Previsto]]="",0,YEAR(TbRegistroEntradas[[#This Row],[Data do Caixa Previsto]]))</f>
        <v>2018</v>
      </c>
      <c r="O113" s="14" t="str">
        <f>IF(TbRegistroEntradas[[#This Row],[Data da Competência]]=TbRegistroEntradas[[#This Row],[Data do Caixa Previsto]],"Vista","Prazo")</f>
        <v>Prazo</v>
      </c>
      <c r="P11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3" s="14" t="str">
        <f ca="1">IF(AND(TbRegistroEntradas[[#This Row],[Data do Caixa Previsto]]&lt;TODAY(),TbRegistroEntradas[[#This Row],[Data do Caixa Realizado]]=""),"Vencida","Não vencida")</f>
        <v>Não vencida</v>
      </c>
    </row>
    <row r="114" spans="2:17" x14ac:dyDescent="0.25">
      <c r="B114" s="13">
        <v>43347.784698126074</v>
      </c>
      <c r="C114" s="13">
        <v>43268</v>
      </c>
      <c r="D114" s="13">
        <v>43268</v>
      </c>
      <c r="E114" s="14" t="s">
        <v>0</v>
      </c>
      <c r="F114" s="14" t="s">
        <v>49</v>
      </c>
      <c r="G114" s="14" t="s">
        <v>191</v>
      </c>
      <c r="H114" s="15">
        <v>3045</v>
      </c>
      <c r="I114" s="14">
        <f>IF(TbRegistroEntradas[[#This Row],[Data do Caixa Realizado]]="",0,MONTH(TbRegistroEntradas[[#This Row],[Data do Caixa Realizado]]))</f>
        <v>9</v>
      </c>
      <c r="J114" s="14">
        <f>IF(TbRegistroEntradas[[#This Row],[Data do Caixa Realizado]]="",0,YEAR(TbRegistroEntradas[[#This Row],[Data do Caixa Realizado]]))</f>
        <v>2018</v>
      </c>
      <c r="K114" s="14">
        <f>IF(TbRegistroEntradas[[#This Row],[Data da Competência]]="",0,MONTH(TbRegistroEntradas[[#This Row],[Data da Competência]]))</f>
        <v>6</v>
      </c>
      <c r="L114" s="14">
        <f>IF(TbRegistroEntradas[[#This Row],[Data da Competência]]="",0,YEAR(TbRegistroEntradas[[#This Row],[Data da Competência]]))</f>
        <v>2018</v>
      </c>
      <c r="M114" s="14">
        <f>IF(TbRegistroEntradas[[#This Row],[Data do Caixa Previsto]]="",0,MONTH(TbRegistroEntradas[[#This Row],[Data do Caixa Previsto]]))</f>
        <v>6</v>
      </c>
      <c r="N114" s="14">
        <f>IF(TbRegistroEntradas[[#This Row],[Data do Caixa Previsto]]="",0,YEAR(TbRegistroEntradas[[#This Row],[Data do Caixa Previsto]]))</f>
        <v>2018</v>
      </c>
      <c r="O114" s="14" t="str">
        <f>IF(TbRegistroEntradas[[#This Row],[Data da Competência]]=TbRegistroEntradas[[#This Row],[Data do Caixa Previsto]],"Vista","Prazo")</f>
        <v>Vista</v>
      </c>
      <c r="P11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79.784698126073636</v>
      </c>
      <c r="Q114" s="14" t="str">
        <f ca="1">IF(AND(TbRegistroEntradas[[#This Row],[Data do Caixa Previsto]]&lt;TODAY(),TbRegistroEntradas[[#This Row],[Data do Caixa Realizado]]=""),"Vencida","Não vencida")</f>
        <v>Não vencida</v>
      </c>
    </row>
    <row r="115" spans="2:17" x14ac:dyDescent="0.25">
      <c r="B115" s="13">
        <v>43328.142631140596</v>
      </c>
      <c r="C115" s="13">
        <v>43272</v>
      </c>
      <c r="D115" s="13">
        <v>43309.393451525575</v>
      </c>
      <c r="E115" s="14" t="s">
        <v>0</v>
      </c>
      <c r="F115" s="14" t="s">
        <v>49</v>
      </c>
      <c r="G115" s="14" t="s">
        <v>192</v>
      </c>
      <c r="H115" s="15">
        <v>460</v>
      </c>
      <c r="I115" s="14">
        <f>IF(TbRegistroEntradas[[#This Row],[Data do Caixa Realizado]]="",0,MONTH(TbRegistroEntradas[[#This Row],[Data do Caixa Realizado]]))</f>
        <v>8</v>
      </c>
      <c r="J115" s="14">
        <f>IF(TbRegistroEntradas[[#This Row],[Data do Caixa Realizado]]="",0,YEAR(TbRegistroEntradas[[#This Row],[Data do Caixa Realizado]]))</f>
        <v>2018</v>
      </c>
      <c r="K115" s="14">
        <f>IF(TbRegistroEntradas[[#This Row],[Data da Competência]]="",0,MONTH(TbRegistroEntradas[[#This Row],[Data da Competência]]))</f>
        <v>6</v>
      </c>
      <c r="L115" s="14">
        <f>IF(TbRegistroEntradas[[#This Row],[Data da Competência]]="",0,YEAR(TbRegistroEntradas[[#This Row],[Data da Competência]]))</f>
        <v>2018</v>
      </c>
      <c r="M115" s="14">
        <f>IF(TbRegistroEntradas[[#This Row],[Data do Caixa Previsto]]="",0,MONTH(TbRegistroEntradas[[#This Row],[Data do Caixa Previsto]]))</f>
        <v>7</v>
      </c>
      <c r="N115" s="14">
        <f>IF(TbRegistroEntradas[[#This Row],[Data do Caixa Previsto]]="",0,YEAR(TbRegistroEntradas[[#This Row],[Data do Caixa Previsto]]))</f>
        <v>2018</v>
      </c>
      <c r="O115" s="14" t="str">
        <f>IF(TbRegistroEntradas[[#This Row],[Data da Competência]]=TbRegistroEntradas[[#This Row],[Data do Caixa Previsto]],"Vista","Prazo")</f>
        <v>Prazo</v>
      </c>
      <c r="P11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18.749179615020694</v>
      </c>
      <c r="Q115" s="14" t="str">
        <f ca="1">IF(AND(TbRegistroEntradas[[#This Row],[Data do Caixa Previsto]]&lt;TODAY(),TbRegistroEntradas[[#This Row],[Data do Caixa Realizado]]=""),"Vencida","Não vencida")</f>
        <v>Não vencida</v>
      </c>
    </row>
    <row r="116" spans="2:17" x14ac:dyDescent="0.25">
      <c r="B116" s="13" t="s">
        <v>92</v>
      </c>
      <c r="C116" s="13">
        <v>43275</v>
      </c>
      <c r="D116" s="13">
        <v>43313.637699425337</v>
      </c>
      <c r="E116" s="14" t="s">
        <v>0</v>
      </c>
      <c r="F116" s="14" t="s">
        <v>49</v>
      </c>
      <c r="G116" s="14" t="s">
        <v>193</v>
      </c>
      <c r="H116" s="15">
        <v>770</v>
      </c>
      <c r="I116" s="14">
        <f>IF(TbRegistroEntradas[[#This Row],[Data do Caixa Realizado]]="",0,MONTH(TbRegistroEntradas[[#This Row],[Data do Caixa Realizado]]))</f>
        <v>0</v>
      </c>
      <c r="J116" s="14">
        <f>IF(TbRegistroEntradas[[#This Row],[Data do Caixa Realizado]]="",0,YEAR(TbRegistroEntradas[[#This Row],[Data do Caixa Realizado]]))</f>
        <v>0</v>
      </c>
      <c r="K116" s="14">
        <f>IF(TbRegistroEntradas[[#This Row],[Data da Competência]]="",0,MONTH(TbRegistroEntradas[[#This Row],[Data da Competência]]))</f>
        <v>6</v>
      </c>
      <c r="L116" s="14">
        <f>IF(TbRegistroEntradas[[#This Row],[Data da Competência]]="",0,YEAR(TbRegistroEntradas[[#This Row],[Data da Competência]]))</f>
        <v>2018</v>
      </c>
      <c r="M116" s="14">
        <f>IF(TbRegistroEntradas[[#This Row],[Data do Caixa Previsto]]="",0,MONTH(TbRegistroEntradas[[#This Row],[Data do Caixa Previsto]]))</f>
        <v>8</v>
      </c>
      <c r="N116" s="14">
        <f>IF(TbRegistroEntradas[[#This Row],[Data do Caixa Previsto]]="",0,YEAR(TbRegistroEntradas[[#This Row],[Data do Caixa Previsto]]))</f>
        <v>2018</v>
      </c>
      <c r="O116" s="14" t="str">
        <f>IF(TbRegistroEntradas[[#This Row],[Data da Competência]]=TbRegistroEntradas[[#This Row],[Data do Caixa Previsto]],"Vista","Prazo")</f>
        <v>Prazo</v>
      </c>
      <c r="P11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2080.3623005746631</v>
      </c>
      <c r="Q116" s="14" t="str">
        <f ca="1">IF(AND(TbRegistroEntradas[[#This Row],[Data do Caixa Previsto]]&lt;TODAY(),TbRegistroEntradas[[#This Row],[Data do Caixa Realizado]]=""),"Vencida","Não vencida")</f>
        <v>Vencida</v>
      </c>
    </row>
    <row r="117" spans="2:17" x14ac:dyDescent="0.25">
      <c r="B117" s="13">
        <v>43321.066181249873</v>
      </c>
      <c r="C117" s="13">
        <v>43276</v>
      </c>
      <c r="D117" s="13">
        <v>43317.738042183715</v>
      </c>
      <c r="E117" s="14" t="s">
        <v>0</v>
      </c>
      <c r="F117" s="14" t="s">
        <v>24</v>
      </c>
      <c r="G117" s="14" t="s">
        <v>194</v>
      </c>
      <c r="H117" s="15">
        <v>3646</v>
      </c>
      <c r="I117" s="14">
        <f>IF(TbRegistroEntradas[[#This Row],[Data do Caixa Realizado]]="",0,MONTH(TbRegistroEntradas[[#This Row],[Data do Caixa Realizado]]))</f>
        <v>8</v>
      </c>
      <c r="J117" s="14">
        <f>IF(TbRegistroEntradas[[#This Row],[Data do Caixa Realizado]]="",0,YEAR(TbRegistroEntradas[[#This Row],[Data do Caixa Realizado]]))</f>
        <v>2018</v>
      </c>
      <c r="K117" s="14">
        <f>IF(TbRegistroEntradas[[#This Row],[Data da Competência]]="",0,MONTH(TbRegistroEntradas[[#This Row],[Data da Competência]]))</f>
        <v>6</v>
      </c>
      <c r="L117" s="14">
        <f>IF(TbRegistroEntradas[[#This Row],[Data da Competência]]="",0,YEAR(TbRegistroEntradas[[#This Row],[Data da Competência]]))</f>
        <v>2018</v>
      </c>
      <c r="M117" s="14">
        <f>IF(TbRegistroEntradas[[#This Row],[Data do Caixa Previsto]]="",0,MONTH(TbRegistroEntradas[[#This Row],[Data do Caixa Previsto]]))</f>
        <v>8</v>
      </c>
      <c r="N117" s="14">
        <f>IF(TbRegistroEntradas[[#This Row],[Data do Caixa Previsto]]="",0,YEAR(TbRegistroEntradas[[#This Row],[Data do Caixa Previsto]]))</f>
        <v>2018</v>
      </c>
      <c r="O117" s="14" t="str">
        <f>IF(TbRegistroEntradas[[#This Row],[Data da Competência]]=TbRegistroEntradas[[#This Row],[Data do Caixa Previsto]],"Vista","Prazo")</f>
        <v>Prazo</v>
      </c>
      <c r="P11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3.3281390661577461</v>
      </c>
      <c r="Q117" s="14" t="str">
        <f ca="1">IF(AND(TbRegistroEntradas[[#This Row],[Data do Caixa Previsto]]&lt;TODAY(),TbRegistroEntradas[[#This Row],[Data do Caixa Realizado]]=""),"Vencida","Não vencida")</f>
        <v>Não vencida</v>
      </c>
    </row>
    <row r="118" spans="2:17" x14ac:dyDescent="0.25">
      <c r="B118" s="13">
        <v>43328.896220051167</v>
      </c>
      <c r="C118" s="13">
        <v>43280</v>
      </c>
      <c r="D118" s="13">
        <v>43328.896220051167</v>
      </c>
      <c r="E118" s="14" t="s">
        <v>0</v>
      </c>
      <c r="F118" s="14" t="s">
        <v>24</v>
      </c>
      <c r="G118" s="14" t="s">
        <v>195</v>
      </c>
      <c r="H118" s="15">
        <v>2376</v>
      </c>
      <c r="I118" s="14">
        <f>IF(TbRegistroEntradas[[#This Row],[Data do Caixa Realizado]]="",0,MONTH(TbRegistroEntradas[[#This Row],[Data do Caixa Realizado]]))</f>
        <v>8</v>
      </c>
      <c r="J118" s="14">
        <f>IF(TbRegistroEntradas[[#This Row],[Data do Caixa Realizado]]="",0,YEAR(TbRegistroEntradas[[#This Row],[Data do Caixa Realizado]]))</f>
        <v>2018</v>
      </c>
      <c r="K118" s="14">
        <f>IF(TbRegistroEntradas[[#This Row],[Data da Competência]]="",0,MONTH(TbRegistroEntradas[[#This Row],[Data da Competência]]))</f>
        <v>6</v>
      </c>
      <c r="L118" s="14">
        <f>IF(TbRegistroEntradas[[#This Row],[Data da Competência]]="",0,YEAR(TbRegistroEntradas[[#This Row],[Data da Competência]]))</f>
        <v>2018</v>
      </c>
      <c r="M118" s="14">
        <f>IF(TbRegistroEntradas[[#This Row],[Data do Caixa Previsto]]="",0,MONTH(TbRegistroEntradas[[#This Row],[Data do Caixa Previsto]]))</f>
        <v>8</v>
      </c>
      <c r="N118" s="14">
        <f>IF(TbRegistroEntradas[[#This Row],[Data do Caixa Previsto]]="",0,YEAR(TbRegistroEntradas[[#This Row],[Data do Caixa Previsto]]))</f>
        <v>2018</v>
      </c>
      <c r="O118" s="14" t="str">
        <f>IF(TbRegistroEntradas[[#This Row],[Data da Competência]]=TbRegistroEntradas[[#This Row],[Data do Caixa Previsto]],"Vista","Prazo")</f>
        <v>Prazo</v>
      </c>
      <c r="P11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8" s="14" t="str">
        <f ca="1">IF(AND(TbRegistroEntradas[[#This Row],[Data do Caixa Previsto]]&lt;TODAY(),TbRegistroEntradas[[#This Row],[Data do Caixa Realizado]]=""),"Vencida","Não vencida")</f>
        <v>Não vencida</v>
      </c>
    </row>
    <row r="119" spans="2:17" x14ac:dyDescent="0.25">
      <c r="B119" s="13">
        <v>43310.362560784597</v>
      </c>
      <c r="C119" s="13">
        <v>43284</v>
      </c>
      <c r="D119" s="13">
        <v>43310.362560784597</v>
      </c>
      <c r="E119" s="14" t="s">
        <v>0</v>
      </c>
      <c r="F119" s="14" t="s">
        <v>24</v>
      </c>
      <c r="G119" s="14" t="s">
        <v>196</v>
      </c>
      <c r="H119" s="15">
        <v>3940</v>
      </c>
      <c r="I119" s="14">
        <f>IF(TbRegistroEntradas[[#This Row],[Data do Caixa Realizado]]="",0,MONTH(TbRegistroEntradas[[#This Row],[Data do Caixa Realizado]]))</f>
        <v>7</v>
      </c>
      <c r="J119" s="14">
        <f>IF(TbRegistroEntradas[[#This Row],[Data do Caixa Realizado]]="",0,YEAR(TbRegistroEntradas[[#This Row],[Data do Caixa Realizado]]))</f>
        <v>2018</v>
      </c>
      <c r="K119" s="14">
        <f>IF(TbRegistroEntradas[[#This Row],[Data da Competência]]="",0,MONTH(TbRegistroEntradas[[#This Row],[Data da Competência]]))</f>
        <v>7</v>
      </c>
      <c r="L119" s="14">
        <f>IF(TbRegistroEntradas[[#This Row],[Data da Competência]]="",0,YEAR(TbRegistroEntradas[[#This Row],[Data da Competência]]))</f>
        <v>2018</v>
      </c>
      <c r="M119" s="14">
        <f>IF(TbRegistroEntradas[[#This Row],[Data do Caixa Previsto]]="",0,MONTH(TbRegistroEntradas[[#This Row],[Data do Caixa Previsto]]))</f>
        <v>7</v>
      </c>
      <c r="N119" s="14">
        <f>IF(TbRegistroEntradas[[#This Row],[Data do Caixa Previsto]]="",0,YEAR(TbRegistroEntradas[[#This Row],[Data do Caixa Previsto]]))</f>
        <v>2018</v>
      </c>
      <c r="O119" s="14" t="str">
        <f>IF(TbRegistroEntradas[[#This Row],[Data da Competência]]=TbRegistroEntradas[[#This Row],[Data do Caixa Previsto]],"Vista","Prazo")</f>
        <v>Prazo</v>
      </c>
      <c r="P11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9" s="14" t="str">
        <f ca="1">IF(AND(TbRegistroEntradas[[#This Row],[Data do Caixa Previsto]]&lt;TODAY(),TbRegistroEntradas[[#This Row],[Data do Caixa Realizado]]=""),"Vencida","Não vencida")</f>
        <v>Não vencida</v>
      </c>
    </row>
    <row r="120" spans="2:17" x14ac:dyDescent="0.25">
      <c r="B120" s="13">
        <v>43343.848263098727</v>
      </c>
      <c r="C120" s="13">
        <v>43285</v>
      </c>
      <c r="D120" s="13">
        <v>43343.848263098727</v>
      </c>
      <c r="E120" s="14" t="s">
        <v>0</v>
      </c>
      <c r="F120" s="14" t="s">
        <v>24</v>
      </c>
      <c r="G120" s="14" t="s">
        <v>197</v>
      </c>
      <c r="H120" s="15">
        <v>1732</v>
      </c>
      <c r="I120" s="14">
        <f>IF(TbRegistroEntradas[[#This Row],[Data do Caixa Realizado]]="",0,MONTH(TbRegistroEntradas[[#This Row],[Data do Caixa Realizado]]))</f>
        <v>8</v>
      </c>
      <c r="J120" s="14">
        <f>IF(TbRegistroEntradas[[#This Row],[Data do Caixa Realizado]]="",0,YEAR(TbRegistroEntradas[[#This Row],[Data do Caixa Realizado]]))</f>
        <v>2018</v>
      </c>
      <c r="K120" s="14">
        <f>IF(TbRegistroEntradas[[#This Row],[Data da Competência]]="",0,MONTH(TbRegistroEntradas[[#This Row],[Data da Competência]]))</f>
        <v>7</v>
      </c>
      <c r="L120" s="14">
        <f>IF(TbRegistroEntradas[[#This Row],[Data da Competência]]="",0,YEAR(TbRegistroEntradas[[#This Row],[Data da Competência]]))</f>
        <v>2018</v>
      </c>
      <c r="M120" s="14">
        <f>IF(TbRegistroEntradas[[#This Row],[Data do Caixa Previsto]]="",0,MONTH(TbRegistroEntradas[[#This Row],[Data do Caixa Previsto]]))</f>
        <v>8</v>
      </c>
      <c r="N120" s="14">
        <f>IF(TbRegistroEntradas[[#This Row],[Data do Caixa Previsto]]="",0,YEAR(TbRegistroEntradas[[#This Row],[Data do Caixa Previsto]]))</f>
        <v>2018</v>
      </c>
      <c r="O120" s="14" t="str">
        <f>IF(TbRegistroEntradas[[#This Row],[Data da Competência]]=TbRegistroEntradas[[#This Row],[Data do Caixa Previsto]],"Vista","Prazo")</f>
        <v>Prazo</v>
      </c>
      <c r="P12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0" s="14" t="str">
        <f ca="1">IF(AND(TbRegistroEntradas[[#This Row],[Data do Caixa Previsto]]&lt;TODAY(),TbRegistroEntradas[[#This Row],[Data do Caixa Realizado]]=""),"Vencida","Não vencida")</f>
        <v>Não vencida</v>
      </c>
    </row>
    <row r="121" spans="2:17" x14ac:dyDescent="0.25">
      <c r="B121" s="13">
        <v>43316.086897207155</v>
      </c>
      <c r="C121" s="13">
        <v>43286</v>
      </c>
      <c r="D121" s="13">
        <v>43316.086897207155</v>
      </c>
      <c r="E121" s="14" t="s">
        <v>0</v>
      </c>
      <c r="F121" s="14" t="s">
        <v>5</v>
      </c>
      <c r="G121" s="14" t="s">
        <v>198</v>
      </c>
      <c r="H121" s="15">
        <v>1306</v>
      </c>
      <c r="I121" s="14">
        <f>IF(TbRegistroEntradas[[#This Row],[Data do Caixa Realizado]]="",0,MONTH(TbRegistroEntradas[[#This Row],[Data do Caixa Realizado]]))</f>
        <v>8</v>
      </c>
      <c r="J121" s="14">
        <f>IF(TbRegistroEntradas[[#This Row],[Data do Caixa Realizado]]="",0,YEAR(TbRegistroEntradas[[#This Row],[Data do Caixa Realizado]]))</f>
        <v>2018</v>
      </c>
      <c r="K121" s="14">
        <f>IF(TbRegistroEntradas[[#This Row],[Data da Competência]]="",0,MONTH(TbRegistroEntradas[[#This Row],[Data da Competência]]))</f>
        <v>7</v>
      </c>
      <c r="L121" s="14">
        <f>IF(TbRegistroEntradas[[#This Row],[Data da Competência]]="",0,YEAR(TbRegistroEntradas[[#This Row],[Data da Competência]]))</f>
        <v>2018</v>
      </c>
      <c r="M121" s="14">
        <f>IF(TbRegistroEntradas[[#This Row],[Data do Caixa Previsto]]="",0,MONTH(TbRegistroEntradas[[#This Row],[Data do Caixa Previsto]]))</f>
        <v>8</v>
      </c>
      <c r="N121" s="14">
        <f>IF(TbRegistroEntradas[[#This Row],[Data do Caixa Previsto]]="",0,YEAR(TbRegistroEntradas[[#This Row],[Data do Caixa Previsto]]))</f>
        <v>2018</v>
      </c>
      <c r="O121" s="14" t="str">
        <f>IF(TbRegistroEntradas[[#This Row],[Data da Competência]]=TbRegistroEntradas[[#This Row],[Data do Caixa Previsto]],"Vista","Prazo")</f>
        <v>Prazo</v>
      </c>
      <c r="P12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1" s="14" t="str">
        <f ca="1">IF(AND(TbRegistroEntradas[[#This Row],[Data do Caixa Previsto]]&lt;TODAY(),TbRegistroEntradas[[#This Row],[Data do Caixa Realizado]]=""),"Vencida","Não vencida")</f>
        <v>Não vencida</v>
      </c>
    </row>
    <row r="122" spans="2:17" x14ac:dyDescent="0.25">
      <c r="B122" s="13">
        <v>43336.184362990563</v>
      </c>
      <c r="C122" s="13">
        <v>43288</v>
      </c>
      <c r="D122" s="13">
        <v>43336.184362990563</v>
      </c>
      <c r="E122" s="14" t="s">
        <v>0</v>
      </c>
      <c r="F122" s="14" t="s">
        <v>3</v>
      </c>
      <c r="G122" s="14" t="s">
        <v>199</v>
      </c>
      <c r="H122" s="15">
        <v>3954</v>
      </c>
      <c r="I122" s="14">
        <f>IF(TbRegistroEntradas[[#This Row],[Data do Caixa Realizado]]="",0,MONTH(TbRegistroEntradas[[#This Row],[Data do Caixa Realizado]]))</f>
        <v>8</v>
      </c>
      <c r="J122" s="14">
        <f>IF(TbRegistroEntradas[[#This Row],[Data do Caixa Realizado]]="",0,YEAR(TbRegistroEntradas[[#This Row],[Data do Caixa Realizado]]))</f>
        <v>2018</v>
      </c>
      <c r="K122" s="14">
        <f>IF(TbRegistroEntradas[[#This Row],[Data da Competência]]="",0,MONTH(TbRegistroEntradas[[#This Row],[Data da Competência]]))</f>
        <v>7</v>
      </c>
      <c r="L122" s="14">
        <f>IF(TbRegistroEntradas[[#This Row],[Data da Competência]]="",0,YEAR(TbRegistroEntradas[[#This Row],[Data da Competência]]))</f>
        <v>2018</v>
      </c>
      <c r="M122" s="14">
        <f>IF(TbRegistroEntradas[[#This Row],[Data do Caixa Previsto]]="",0,MONTH(TbRegistroEntradas[[#This Row],[Data do Caixa Previsto]]))</f>
        <v>8</v>
      </c>
      <c r="N122" s="14">
        <f>IF(TbRegistroEntradas[[#This Row],[Data do Caixa Previsto]]="",0,YEAR(TbRegistroEntradas[[#This Row],[Data do Caixa Previsto]]))</f>
        <v>2018</v>
      </c>
      <c r="O122" s="14" t="str">
        <f>IF(TbRegistroEntradas[[#This Row],[Data da Competência]]=TbRegistroEntradas[[#This Row],[Data do Caixa Previsto]],"Vista","Prazo")</f>
        <v>Prazo</v>
      </c>
      <c r="P12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2" s="14" t="str">
        <f ca="1">IF(AND(TbRegistroEntradas[[#This Row],[Data do Caixa Previsto]]&lt;TODAY(),TbRegistroEntradas[[#This Row],[Data do Caixa Realizado]]=""),"Vencida","Não vencida")</f>
        <v>Não vencida</v>
      </c>
    </row>
    <row r="123" spans="2:17" x14ac:dyDescent="0.25">
      <c r="B123" s="13">
        <v>43367.055849144577</v>
      </c>
      <c r="C123" s="13">
        <v>43292</v>
      </c>
      <c r="D123" s="13">
        <v>43323.658986192779</v>
      </c>
      <c r="E123" s="14" t="s">
        <v>0</v>
      </c>
      <c r="F123" s="14" t="s">
        <v>49</v>
      </c>
      <c r="G123" s="14" t="s">
        <v>200</v>
      </c>
      <c r="H123" s="15">
        <v>4090</v>
      </c>
      <c r="I123" s="14">
        <f>IF(TbRegistroEntradas[[#This Row],[Data do Caixa Realizado]]="",0,MONTH(TbRegistroEntradas[[#This Row],[Data do Caixa Realizado]]))</f>
        <v>9</v>
      </c>
      <c r="J123" s="14">
        <f>IF(TbRegistroEntradas[[#This Row],[Data do Caixa Realizado]]="",0,YEAR(TbRegistroEntradas[[#This Row],[Data do Caixa Realizado]]))</f>
        <v>2018</v>
      </c>
      <c r="K123" s="14">
        <f>IF(TbRegistroEntradas[[#This Row],[Data da Competência]]="",0,MONTH(TbRegistroEntradas[[#This Row],[Data da Competência]]))</f>
        <v>7</v>
      </c>
      <c r="L123" s="14">
        <f>IF(TbRegistroEntradas[[#This Row],[Data da Competência]]="",0,YEAR(TbRegistroEntradas[[#This Row],[Data da Competência]]))</f>
        <v>2018</v>
      </c>
      <c r="M123" s="14">
        <f>IF(TbRegistroEntradas[[#This Row],[Data do Caixa Previsto]]="",0,MONTH(TbRegistroEntradas[[#This Row],[Data do Caixa Previsto]]))</f>
        <v>8</v>
      </c>
      <c r="N123" s="14">
        <f>IF(TbRegistroEntradas[[#This Row],[Data do Caixa Previsto]]="",0,YEAR(TbRegistroEntradas[[#This Row],[Data do Caixa Previsto]]))</f>
        <v>2018</v>
      </c>
      <c r="O123" s="14" t="str">
        <f>IF(TbRegistroEntradas[[#This Row],[Data da Competência]]=TbRegistroEntradas[[#This Row],[Data do Caixa Previsto]],"Vista","Prazo")</f>
        <v>Prazo</v>
      </c>
      <c r="P12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43.396862951798539</v>
      </c>
      <c r="Q123" s="14" t="str">
        <f ca="1">IF(AND(TbRegistroEntradas[[#This Row],[Data do Caixa Previsto]]&lt;TODAY(),TbRegistroEntradas[[#This Row],[Data do Caixa Realizado]]=""),"Vencida","Não vencida")</f>
        <v>Não vencida</v>
      </c>
    </row>
    <row r="124" spans="2:17" x14ac:dyDescent="0.25">
      <c r="B124" s="13">
        <v>43311.051743268465</v>
      </c>
      <c r="C124" s="13">
        <v>43293</v>
      </c>
      <c r="D124" s="13">
        <v>43311.051743268465</v>
      </c>
      <c r="E124" s="14" t="s">
        <v>0</v>
      </c>
      <c r="F124" s="14" t="s">
        <v>17</v>
      </c>
      <c r="G124" s="14" t="s">
        <v>201</v>
      </c>
      <c r="H124" s="15">
        <v>2713</v>
      </c>
      <c r="I124" s="14">
        <f>IF(TbRegistroEntradas[[#This Row],[Data do Caixa Realizado]]="",0,MONTH(TbRegistroEntradas[[#This Row],[Data do Caixa Realizado]]))</f>
        <v>7</v>
      </c>
      <c r="J124" s="14">
        <f>IF(TbRegistroEntradas[[#This Row],[Data do Caixa Realizado]]="",0,YEAR(TbRegistroEntradas[[#This Row],[Data do Caixa Realizado]]))</f>
        <v>2018</v>
      </c>
      <c r="K124" s="14">
        <f>IF(TbRegistroEntradas[[#This Row],[Data da Competência]]="",0,MONTH(TbRegistroEntradas[[#This Row],[Data da Competência]]))</f>
        <v>7</v>
      </c>
      <c r="L124" s="14">
        <f>IF(TbRegistroEntradas[[#This Row],[Data da Competência]]="",0,YEAR(TbRegistroEntradas[[#This Row],[Data da Competência]]))</f>
        <v>2018</v>
      </c>
      <c r="M124" s="14">
        <f>IF(TbRegistroEntradas[[#This Row],[Data do Caixa Previsto]]="",0,MONTH(TbRegistroEntradas[[#This Row],[Data do Caixa Previsto]]))</f>
        <v>7</v>
      </c>
      <c r="N124" s="14">
        <f>IF(TbRegistroEntradas[[#This Row],[Data do Caixa Previsto]]="",0,YEAR(TbRegistroEntradas[[#This Row],[Data do Caixa Previsto]]))</f>
        <v>2018</v>
      </c>
      <c r="O124" s="14" t="str">
        <f>IF(TbRegistroEntradas[[#This Row],[Data da Competência]]=TbRegistroEntradas[[#This Row],[Data do Caixa Previsto]],"Vista","Prazo")</f>
        <v>Prazo</v>
      </c>
      <c r="P12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4" s="14" t="str">
        <f ca="1">IF(AND(TbRegistroEntradas[[#This Row],[Data do Caixa Previsto]]&lt;TODAY(),TbRegistroEntradas[[#This Row],[Data do Caixa Realizado]]=""),"Vencida","Não vencida")</f>
        <v>Não vencida</v>
      </c>
    </row>
    <row r="125" spans="2:17" x14ac:dyDescent="0.25">
      <c r="B125" s="13">
        <v>43302.671415134202</v>
      </c>
      <c r="C125" s="13">
        <v>43297</v>
      </c>
      <c r="D125" s="13">
        <v>43302.671415134202</v>
      </c>
      <c r="E125" s="14" t="s">
        <v>0</v>
      </c>
      <c r="F125" s="14" t="s">
        <v>24</v>
      </c>
      <c r="G125" s="14" t="s">
        <v>202</v>
      </c>
      <c r="H125" s="15">
        <v>3482</v>
      </c>
      <c r="I125" s="14">
        <f>IF(TbRegistroEntradas[[#This Row],[Data do Caixa Realizado]]="",0,MONTH(TbRegistroEntradas[[#This Row],[Data do Caixa Realizado]]))</f>
        <v>7</v>
      </c>
      <c r="J125" s="14">
        <f>IF(TbRegistroEntradas[[#This Row],[Data do Caixa Realizado]]="",0,YEAR(TbRegistroEntradas[[#This Row],[Data do Caixa Realizado]]))</f>
        <v>2018</v>
      </c>
      <c r="K125" s="14">
        <f>IF(TbRegistroEntradas[[#This Row],[Data da Competência]]="",0,MONTH(TbRegistroEntradas[[#This Row],[Data da Competência]]))</f>
        <v>7</v>
      </c>
      <c r="L125" s="14">
        <f>IF(TbRegistroEntradas[[#This Row],[Data da Competência]]="",0,YEAR(TbRegistroEntradas[[#This Row],[Data da Competência]]))</f>
        <v>2018</v>
      </c>
      <c r="M125" s="14">
        <f>IF(TbRegistroEntradas[[#This Row],[Data do Caixa Previsto]]="",0,MONTH(TbRegistroEntradas[[#This Row],[Data do Caixa Previsto]]))</f>
        <v>7</v>
      </c>
      <c r="N125" s="14">
        <f>IF(TbRegistroEntradas[[#This Row],[Data do Caixa Previsto]]="",0,YEAR(TbRegistroEntradas[[#This Row],[Data do Caixa Previsto]]))</f>
        <v>2018</v>
      </c>
      <c r="O125" s="14" t="str">
        <f>IF(TbRegistroEntradas[[#This Row],[Data da Competência]]=TbRegistroEntradas[[#This Row],[Data do Caixa Previsto]],"Vista","Prazo")</f>
        <v>Prazo</v>
      </c>
      <c r="P12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5" s="14" t="str">
        <f ca="1">IF(AND(TbRegistroEntradas[[#This Row],[Data do Caixa Previsto]]&lt;TODAY(),TbRegistroEntradas[[#This Row],[Data do Caixa Realizado]]=""),"Vencida","Não vencida")</f>
        <v>Não vencida</v>
      </c>
    </row>
    <row r="126" spans="2:17" x14ac:dyDescent="0.25">
      <c r="B126" s="13">
        <v>43346.313143570049</v>
      </c>
      <c r="C126" s="13">
        <v>43299</v>
      </c>
      <c r="D126" s="13">
        <v>43346.313143570049</v>
      </c>
      <c r="E126" s="14" t="s">
        <v>0</v>
      </c>
      <c r="F126" s="14" t="s">
        <v>24</v>
      </c>
      <c r="G126" s="14" t="s">
        <v>203</v>
      </c>
      <c r="H126" s="15">
        <v>2071</v>
      </c>
      <c r="I126" s="14">
        <f>IF(TbRegistroEntradas[[#This Row],[Data do Caixa Realizado]]="",0,MONTH(TbRegistroEntradas[[#This Row],[Data do Caixa Realizado]]))</f>
        <v>9</v>
      </c>
      <c r="J126" s="14">
        <f>IF(TbRegistroEntradas[[#This Row],[Data do Caixa Realizado]]="",0,YEAR(TbRegistroEntradas[[#This Row],[Data do Caixa Realizado]]))</f>
        <v>2018</v>
      </c>
      <c r="K126" s="14">
        <f>IF(TbRegistroEntradas[[#This Row],[Data da Competência]]="",0,MONTH(TbRegistroEntradas[[#This Row],[Data da Competência]]))</f>
        <v>7</v>
      </c>
      <c r="L126" s="14">
        <f>IF(TbRegistroEntradas[[#This Row],[Data da Competência]]="",0,YEAR(TbRegistroEntradas[[#This Row],[Data da Competência]]))</f>
        <v>2018</v>
      </c>
      <c r="M126" s="14">
        <f>IF(TbRegistroEntradas[[#This Row],[Data do Caixa Previsto]]="",0,MONTH(TbRegistroEntradas[[#This Row],[Data do Caixa Previsto]]))</f>
        <v>9</v>
      </c>
      <c r="N126" s="14">
        <f>IF(TbRegistroEntradas[[#This Row],[Data do Caixa Previsto]]="",0,YEAR(TbRegistroEntradas[[#This Row],[Data do Caixa Previsto]]))</f>
        <v>2018</v>
      </c>
      <c r="O126" s="14" t="str">
        <f>IF(TbRegistroEntradas[[#This Row],[Data da Competência]]=TbRegistroEntradas[[#This Row],[Data do Caixa Previsto]],"Vista","Prazo")</f>
        <v>Prazo</v>
      </c>
      <c r="P12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6" s="14" t="str">
        <f ca="1">IF(AND(TbRegistroEntradas[[#This Row],[Data do Caixa Previsto]]&lt;TODAY(),TbRegistroEntradas[[#This Row],[Data do Caixa Realizado]]=""),"Vencida","Não vencida")</f>
        <v>Não vencida</v>
      </c>
    </row>
    <row r="127" spans="2:17" x14ac:dyDescent="0.25">
      <c r="B127" s="13">
        <v>43333.777244922574</v>
      </c>
      <c r="C127" s="13">
        <v>43304</v>
      </c>
      <c r="D127" s="13">
        <v>43304</v>
      </c>
      <c r="E127" s="14" t="s">
        <v>0</v>
      </c>
      <c r="F127" s="14" t="s">
        <v>49</v>
      </c>
      <c r="G127" s="14" t="s">
        <v>204</v>
      </c>
      <c r="H127" s="15">
        <v>4258</v>
      </c>
      <c r="I127" s="14">
        <f>IF(TbRegistroEntradas[[#This Row],[Data do Caixa Realizado]]="",0,MONTH(TbRegistroEntradas[[#This Row],[Data do Caixa Realizado]]))</f>
        <v>8</v>
      </c>
      <c r="J127" s="14">
        <f>IF(TbRegistroEntradas[[#This Row],[Data do Caixa Realizado]]="",0,YEAR(TbRegistroEntradas[[#This Row],[Data do Caixa Realizado]]))</f>
        <v>2018</v>
      </c>
      <c r="K127" s="14">
        <f>IF(TbRegistroEntradas[[#This Row],[Data da Competência]]="",0,MONTH(TbRegistroEntradas[[#This Row],[Data da Competência]]))</f>
        <v>7</v>
      </c>
      <c r="L127" s="14">
        <f>IF(TbRegistroEntradas[[#This Row],[Data da Competência]]="",0,YEAR(TbRegistroEntradas[[#This Row],[Data da Competência]]))</f>
        <v>2018</v>
      </c>
      <c r="M127" s="14">
        <f>IF(TbRegistroEntradas[[#This Row],[Data do Caixa Previsto]]="",0,MONTH(TbRegistroEntradas[[#This Row],[Data do Caixa Previsto]]))</f>
        <v>7</v>
      </c>
      <c r="N127" s="14">
        <f>IF(TbRegistroEntradas[[#This Row],[Data do Caixa Previsto]]="",0,YEAR(TbRegistroEntradas[[#This Row],[Data do Caixa Previsto]]))</f>
        <v>2018</v>
      </c>
      <c r="O127" s="14" t="str">
        <f>IF(TbRegistroEntradas[[#This Row],[Data da Competência]]=TbRegistroEntradas[[#This Row],[Data do Caixa Previsto]],"Vista","Prazo")</f>
        <v>Vista</v>
      </c>
      <c r="P12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29.777244922574027</v>
      </c>
      <c r="Q127" s="14" t="str">
        <f ca="1">IF(AND(TbRegistroEntradas[[#This Row],[Data do Caixa Previsto]]&lt;TODAY(),TbRegistroEntradas[[#This Row],[Data do Caixa Realizado]]=""),"Vencida","Não vencida")</f>
        <v>Não vencida</v>
      </c>
    </row>
    <row r="128" spans="2:17" x14ac:dyDescent="0.25">
      <c r="B128" s="13">
        <v>43428.73128891184</v>
      </c>
      <c r="C128" s="13">
        <v>43306</v>
      </c>
      <c r="D128" s="13">
        <v>43350.178253053913</v>
      </c>
      <c r="E128" s="14" t="s">
        <v>0</v>
      </c>
      <c r="F128" s="14" t="s">
        <v>3</v>
      </c>
      <c r="G128" s="14" t="s">
        <v>205</v>
      </c>
      <c r="H128" s="15">
        <v>4383</v>
      </c>
      <c r="I128" s="14">
        <f>IF(TbRegistroEntradas[[#This Row],[Data do Caixa Realizado]]="",0,MONTH(TbRegistroEntradas[[#This Row],[Data do Caixa Realizado]]))</f>
        <v>11</v>
      </c>
      <c r="J128" s="14">
        <f>IF(TbRegistroEntradas[[#This Row],[Data do Caixa Realizado]]="",0,YEAR(TbRegistroEntradas[[#This Row],[Data do Caixa Realizado]]))</f>
        <v>2018</v>
      </c>
      <c r="K128" s="14">
        <f>IF(TbRegistroEntradas[[#This Row],[Data da Competência]]="",0,MONTH(TbRegistroEntradas[[#This Row],[Data da Competência]]))</f>
        <v>7</v>
      </c>
      <c r="L128" s="14">
        <f>IF(TbRegistroEntradas[[#This Row],[Data da Competência]]="",0,YEAR(TbRegistroEntradas[[#This Row],[Data da Competência]]))</f>
        <v>2018</v>
      </c>
      <c r="M128" s="14">
        <f>IF(TbRegistroEntradas[[#This Row],[Data do Caixa Previsto]]="",0,MONTH(TbRegistroEntradas[[#This Row],[Data do Caixa Previsto]]))</f>
        <v>9</v>
      </c>
      <c r="N128" s="14">
        <f>IF(TbRegistroEntradas[[#This Row],[Data do Caixa Previsto]]="",0,YEAR(TbRegistroEntradas[[#This Row],[Data do Caixa Previsto]]))</f>
        <v>2018</v>
      </c>
      <c r="O128" s="14" t="str">
        <f>IF(TbRegistroEntradas[[#This Row],[Data da Competência]]=TbRegistroEntradas[[#This Row],[Data do Caixa Previsto]],"Vista","Prazo")</f>
        <v>Prazo</v>
      </c>
      <c r="P12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78.553035857927171</v>
      </c>
      <c r="Q128" s="14" t="str">
        <f ca="1">IF(AND(TbRegistroEntradas[[#This Row],[Data do Caixa Previsto]]&lt;TODAY(),TbRegistroEntradas[[#This Row],[Data do Caixa Realizado]]=""),"Vencida","Não vencida")</f>
        <v>Não vencida</v>
      </c>
    </row>
    <row r="129" spans="2:17" x14ac:dyDescent="0.25">
      <c r="B129" s="13">
        <v>43352.69621488743</v>
      </c>
      <c r="C129" s="13">
        <v>43310</v>
      </c>
      <c r="D129" s="13">
        <v>43310</v>
      </c>
      <c r="E129" s="14" t="s">
        <v>0</v>
      </c>
      <c r="F129" s="14" t="s">
        <v>24</v>
      </c>
      <c r="G129" s="14" t="s">
        <v>206</v>
      </c>
      <c r="H129" s="15">
        <v>1369</v>
      </c>
      <c r="I129" s="14">
        <f>IF(TbRegistroEntradas[[#This Row],[Data do Caixa Realizado]]="",0,MONTH(TbRegistroEntradas[[#This Row],[Data do Caixa Realizado]]))</f>
        <v>9</v>
      </c>
      <c r="J129" s="14">
        <f>IF(TbRegistroEntradas[[#This Row],[Data do Caixa Realizado]]="",0,YEAR(TbRegistroEntradas[[#This Row],[Data do Caixa Realizado]]))</f>
        <v>2018</v>
      </c>
      <c r="K129" s="14">
        <f>IF(TbRegistroEntradas[[#This Row],[Data da Competência]]="",0,MONTH(TbRegistroEntradas[[#This Row],[Data da Competência]]))</f>
        <v>7</v>
      </c>
      <c r="L129" s="14">
        <f>IF(TbRegistroEntradas[[#This Row],[Data da Competência]]="",0,YEAR(TbRegistroEntradas[[#This Row],[Data da Competência]]))</f>
        <v>2018</v>
      </c>
      <c r="M129" s="14">
        <f>IF(TbRegistroEntradas[[#This Row],[Data do Caixa Previsto]]="",0,MONTH(TbRegistroEntradas[[#This Row],[Data do Caixa Previsto]]))</f>
        <v>7</v>
      </c>
      <c r="N129" s="14">
        <f>IF(TbRegistroEntradas[[#This Row],[Data do Caixa Previsto]]="",0,YEAR(TbRegistroEntradas[[#This Row],[Data do Caixa Previsto]]))</f>
        <v>2018</v>
      </c>
      <c r="O129" s="14" t="str">
        <f>IF(TbRegistroEntradas[[#This Row],[Data da Competência]]=TbRegistroEntradas[[#This Row],[Data do Caixa Previsto]],"Vista","Prazo")</f>
        <v>Vista</v>
      </c>
      <c r="P12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42.69621488742996</v>
      </c>
      <c r="Q129" s="14" t="str">
        <f ca="1">IF(AND(TbRegistroEntradas[[#This Row],[Data do Caixa Previsto]]&lt;TODAY(),TbRegistroEntradas[[#This Row],[Data do Caixa Realizado]]=""),"Vencida","Não vencida")</f>
        <v>Não vencida</v>
      </c>
    </row>
    <row r="130" spans="2:17" x14ac:dyDescent="0.25">
      <c r="B130" s="13">
        <v>43357.5698549507</v>
      </c>
      <c r="C130" s="13">
        <v>43315</v>
      </c>
      <c r="D130" s="13">
        <v>43357.5698549507</v>
      </c>
      <c r="E130" s="14" t="s">
        <v>0</v>
      </c>
      <c r="F130" s="14" t="s">
        <v>24</v>
      </c>
      <c r="G130" s="14" t="s">
        <v>207</v>
      </c>
      <c r="H130" s="15">
        <v>331</v>
      </c>
      <c r="I130" s="14">
        <f>IF(TbRegistroEntradas[[#This Row],[Data do Caixa Realizado]]="",0,MONTH(TbRegistroEntradas[[#This Row],[Data do Caixa Realizado]]))</f>
        <v>9</v>
      </c>
      <c r="J130" s="14">
        <f>IF(TbRegistroEntradas[[#This Row],[Data do Caixa Realizado]]="",0,YEAR(TbRegistroEntradas[[#This Row],[Data do Caixa Realizado]]))</f>
        <v>2018</v>
      </c>
      <c r="K130" s="14">
        <f>IF(TbRegistroEntradas[[#This Row],[Data da Competência]]="",0,MONTH(TbRegistroEntradas[[#This Row],[Data da Competência]]))</f>
        <v>8</v>
      </c>
      <c r="L130" s="14">
        <f>IF(TbRegistroEntradas[[#This Row],[Data da Competência]]="",0,YEAR(TbRegistroEntradas[[#This Row],[Data da Competência]]))</f>
        <v>2018</v>
      </c>
      <c r="M130" s="14">
        <f>IF(TbRegistroEntradas[[#This Row],[Data do Caixa Previsto]]="",0,MONTH(TbRegistroEntradas[[#This Row],[Data do Caixa Previsto]]))</f>
        <v>9</v>
      </c>
      <c r="N130" s="14">
        <f>IF(TbRegistroEntradas[[#This Row],[Data do Caixa Previsto]]="",0,YEAR(TbRegistroEntradas[[#This Row],[Data do Caixa Previsto]]))</f>
        <v>2018</v>
      </c>
      <c r="O130" s="14" t="str">
        <f>IF(TbRegistroEntradas[[#This Row],[Data da Competência]]=TbRegistroEntradas[[#This Row],[Data do Caixa Previsto]],"Vista","Prazo")</f>
        <v>Prazo</v>
      </c>
      <c r="P13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0" s="14" t="str">
        <f ca="1">IF(AND(TbRegistroEntradas[[#This Row],[Data do Caixa Previsto]]&lt;TODAY(),TbRegistroEntradas[[#This Row],[Data do Caixa Realizado]]=""),"Vencida","Não vencida")</f>
        <v>Não vencida</v>
      </c>
    </row>
    <row r="131" spans="2:17" x14ac:dyDescent="0.25">
      <c r="B131" s="13">
        <v>43321.343775306508</v>
      </c>
      <c r="C131" s="13">
        <v>43318</v>
      </c>
      <c r="D131" s="13">
        <v>43318</v>
      </c>
      <c r="E131" s="14" t="s">
        <v>0</v>
      </c>
      <c r="F131" s="14" t="s">
        <v>24</v>
      </c>
      <c r="G131" s="14" t="s">
        <v>208</v>
      </c>
      <c r="H131" s="15">
        <v>3031</v>
      </c>
      <c r="I131" s="14">
        <f>IF(TbRegistroEntradas[[#This Row],[Data do Caixa Realizado]]="",0,MONTH(TbRegistroEntradas[[#This Row],[Data do Caixa Realizado]]))</f>
        <v>8</v>
      </c>
      <c r="J131" s="14">
        <f>IF(TbRegistroEntradas[[#This Row],[Data do Caixa Realizado]]="",0,YEAR(TbRegistroEntradas[[#This Row],[Data do Caixa Realizado]]))</f>
        <v>2018</v>
      </c>
      <c r="K131" s="14">
        <f>IF(TbRegistroEntradas[[#This Row],[Data da Competência]]="",0,MONTH(TbRegistroEntradas[[#This Row],[Data da Competência]]))</f>
        <v>8</v>
      </c>
      <c r="L131" s="14">
        <f>IF(TbRegistroEntradas[[#This Row],[Data da Competência]]="",0,YEAR(TbRegistroEntradas[[#This Row],[Data da Competência]]))</f>
        <v>2018</v>
      </c>
      <c r="M131" s="14">
        <f>IF(TbRegistroEntradas[[#This Row],[Data do Caixa Previsto]]="",0,MONTH(TbRegistroEntradas[[#This Row],[Data do Caixa Previsto]]))</f>
        <v>8</v>
      </c>
      <c r="N131" s="14">
        <f>IF(TbRegistroEntradas[[#This Row],[Data do Caixa Previsto]]="",0,YEAR(TbRegistroEntradas[[#This Row],[Data do Caixa Previsto]]))</f>
        <v>2018</v>
      </c>
      <c r="O131" s="14" t="str">
        <f>IF(TbRegistroEntradas[[#This Row],[Data da Competência]]=TbRegistroEntradas[[#This Row],[Data do Caixa Previsto]],"Vista","Prazo")</f>
        <v>Vista</v>
      </c>
      <c r="P13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3.3437753065081779</v>
      </c>
      <c r="Q131" s="14" t="str">
        <f ca="1">IF(AND(TbRegistroEntradas[[#This Row],[Data do Caixa Previsto]]&lt;TODAY(),TbRegistroEntradas[[#This Row],[Data do Caixa Realizado]]=""),"Vencida","Não vencida")</f>
        <v>Não vencida</v>
      </c>
    </row>
    <row r="132" spans="2:17" x14ac:dyDescent="0.25">
      <c r="B132" s="13">
        <v>43341.446775987133</v>
      </c>
      <c r="C132" s="13">
        <v>43321</v>
      </c>
      <c r="D132" s="13">
        <v>43341.446775987133</v>
      </c>
      <c r="E132" s="14" t="s">
        <v>0</v>
      </c>
      <c r="F132" s="14" t="s">
        <v>3</v>
      </c>
      <c r="G132" s="14" t="s">
        <v>209</v>
      </c>
      <c r="H132" s="15">
        <v>1200</v>
      </c>
      <c r="I132" s="14">
        <f>IF(TbRegistroEntradas[[#This Row],[Data do Caixa Realizado]]="",0,MONTH(TbRegistroEntradas[[#This Row],[Data do Caixa Realizado]]))</f>
        <v>8</v>
      </c>
      <c r="J132" s="14">
        <f>IF(TbRegistroEntradas[[#This Row],[Data do Caixa Realizado]]="",0,YEAR(TbRegistroEntradas[[#This Row],[Data do Caixa Realizado]]))</f>
        <v>2018</v>
      </c>
      <c r="K132" s="14">
        <f>IF(TbRegistroEntradas[[#This Row],[Data da Competência]]="",0,MONTH(TbRegistroEntradas[[#This Row],[Data da Competência]]))</f>
        <v>8</v>
      </c>
      <c r="L132" s="14">
        <f>IF(TbRegistroEntradas[[#This Row],[Data da Competência]]="",0,YEAR(TbRegistroEntradas[[#This Row],[Data da Competência]]))</f>
        <v>2018</v>
      </c>
      <c r="M132" s="14">
        <f>IF(TbRegistroEntradas[[#This Row],[Data do Caixa Previsto]]="",0,MONTH(TbRegistroEntradas[[#This Row],[Data do Caixa Previsto]]))</f>
        <v>8</v>
      </c>
      <c r="N132" s="14">
        <f>IF(TbRegistroEntradas[[#This Row],[Data do Caixa Previsto]]="",0,YEAR(TbRegistroEntradas[[#This Row],[Data do Caixa Previsto]]))</f>
        <v>2018</v>
      </c>
      <c r="O132" s="14" t="str">
        <f>IF(TbRegistroEntradas[[#This Row],[Data da Competência]]=TbRegistroEntradas[[#This Row],[Data do Caixa Previsto]],"Vista","Prazo")</f>
        <v>Prazo</v>
      </c>
      <c r="P13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2" s="14" t="str">
        <f ca="1">IF(AND(TbRegistroEntradas[[#This Row],[Data do Caixa Previsto]]&lt;TODAY(),TbRegistroEntradas[[#This Row],[Data do Caixa Realizado]]=""),"Vencida","Não vencida")</f>
        <v>Não vencida</v>
      </c>
    </row>
    <row r="133" spans="2:17" x14ac:dyDescent="0.25">
      <c r="B133" s="13">
        <v>43343.77071694022</v>
      </c>
      <c r="C133" s="13">
        <v>43323</v>
      </c>
      <c r="D133" s="13">
        <v>43323</v>
      </c>
      <c r="E133" s="14" t="s">
        <v>0</v>
      </c>
      <c r="F133" s="14" t="s">
        <v>3</v>
      </c>
      <c r="G133" s="14" t="s">
        <v>210</v>
      </c>
      <c r="H133" s="15">
        <v>405</v>
      </c>
      <c r="I133" s="14">
        <f>IF(TbRegistroEntradas[[#This Row],[Data do Caixa Realizado]]="",0,MONTH(TbRegistroEntradas[[#This Row],[Data do Caixa Realizado]]))</f>
        <v>8</v>
      </c>
      <c r="J133" s="14">
        <f>IF(TbRegistroEntradas[[#This Row],[Data do Caixa Realizado]]="",0,YEAR(TbRegistroEntradas[[#This Row],[Data do Caixa Realizado]]))</f>
        <v>2018</v>
      </c>
      <c r="K133" s="14">
        <f>IF(TbRegistroEntradas[[#This Row],[Data da Competência]]="",0,MONTH(TbRegistroEntradas[[#This Row],[Data da Competência]]))</f>
        <v>8</v>
      </c>
      <c r="L133" s="14">
        <f>IF(TbRegistroEntradas[[#This Row],[Data da Competência]]="",0,YEAR(TbRegistroEntradas[[#This Row],[Data da Competência]]))</f>
        <v>2018</v>
      </c>
      <c r="M133" s="14">
        <f>IF(TbRegistroEntradas[[#This Row],[Data do Caixa Previsto]]="",0,MONTH(TbRegistroEntradas[[#This Row],[Data do Caixa Previsto]]))</f>
        <v>8</v>
      </c>
      <c r="N133" s="14">
        <f>IF(TbRegistroEntradas[[#This Row],[Data do Caixa Previsto]]="",0,YEAR(TbRegistroEntradas[[#This Row],[Data do Caixa Previsto]]))</f>
        <v>2018</v>
      </c>
      <c r="O133" s="14" t="str">
        <f>IF(TbRegistroEntradas[[#This Row],[Data da Competência]]=TbRegistroEntradas[[#This Row],[Data do Caixa Previsto]],"Vista","Prazo")</f>
        <v>Vista</v>
      </c>
      <c r="P13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20.770716940220154</v>
      </c>
      <c r="Q133" s="14" t="str">
        <f ca="1">IF(AND(TbRegistroEntradas[[#This Row],[Data do Caixa Previsto]]&lt;TODAY(),TbRegistroEntradas[[#This Row],[Data do Caixa Realizado]]=""),"Vencida","Não vencida")</f>
        <v>Não vencida</v>
      </c>
    </row>
    <row r="134" spans="2:17" x14ac:dyDescent="0.25">
      <c r="B134" s="13">
        <v>43360.32999077069</v>
      </c>
      <c r="C134" s="13">
        <v>43326</v>
      </c>
      <c r="D134" s="13">
        <v>43360.32999077069</v>
      </c>
      <c r="E134" s="14" t="s">
        <v>0</v>
      </c>
      <c r="F134" s="14" t="s">
        <v>17</v>
      </c>
      <c r="G134" s="14" t="s">
        <v>176</v>
      </c>
      <c r="H134" s="15">
        <v>3080</v>
      </c>
      <c r="I134" s="14">
        <f>IF(TbRegistroEntradas[[#This Row],[Data do Caixa Realizado]]="",0,MONTH(TbRegistroEntradas[[#This Row],[Data do Caixa Realizado]]))</f>
        <v>9</v>
      </c>
      <c r="J134" s="14">
        <f>IF(TbRegistroEntradas[[#This Row],[Data do Caixa Realizado]]="",0,YEAR(TbRegistroEntradas[[#This Row],[Data do Caixa Realizado]]))</f>
        <v>2018</v>
      </c>
      <c r="K134" s="14">
        <f>IF(TbRegistroEntradas[[#This Row],[Data da Competência]]="",0,MONTH(TbRegistroEntradas[[#This Row],[Data da Competência]]))</f>
        <v>8</v>
      </c>
      <c r="L134" s="14">
        <f>IF(TbRegistroEntradas[[#This Row],[Data da Competência]]="",0,YEAR(TbRegistroEntradas[[#This Row],[Data da Competência]]))</f>
        <v>2018</v>
      </c>
      <c r="M134" s="14">
        <f>IF(TbRegistroEntradas[[#This Row],[Data do Caixa Previsto]]="",0,MONTH(TbRegistroEntradas[[#This Row],[Data do Caixa Previsto]]))</f>
        <v>9</v>
      </c>
      <c r="N134" s="14">
        <f>IF(TbRegistroEntradas[[#This Row],[Data do Caixa Previsto]]="",0,YEAR(TbRegistroEntradas[[#This Row],[Data do Caixa Previsto]]))</f>
        <v>2018</v>
      </c>
      <c r="O134" s="14" t="str">
        <f>IF(TbRegistroEntradas[[#This Row],[Data da Competência]]=TbRegistroEntradas[[#This Row],[Data do Caixa Previsto]],"Vista","Prazo")</f>
        <v>Prazo</v>
      </c>
      <c r="P13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4" s="14" t="str">
        <f ca="1">IF(AND(TbRegistroEntradas[[#This Row],[Data do Caixa Previsto]]&lt;TODAY(),TbRegistroEntradas[[#This Row],[Data do Caixa Realizado]]=""),"Vencida","Não vencida")</f>
        <v>Não vencida</v>
      </c>
    </row>
    <row r="135" spans="2:17" x14ac:dyDescent="0.25">
      <c r="B135" s="13">
        <v>43329.315214521994</v>
      </c>
      <c r="C135" s="13">
        <v>43329</v>
      </c>
      <c r="D135" s="13">
        <v>43329</v>
      </c>
      <c r="E135" s="14" t="s">
        <v>0</v>
      </c>
      <c r="F135" s="14" t="s">
        <v>24</v>
      </c>
      <c r="G135" s="14" t="s">
        <v>211</v>
      </c>
      <c r="H135" s="15">
        <v>2137</v>
      </c>
      <c r="I135" s="14">
        <f>IF(TbRegistroEntradas[[#This Row],[Data do Caixa Realizado]]="",0,MONTH(TbRegistroEntradas[[#This Row],[Data do Caixa Realizado]]))</f>
        <v>8</v>
      </c>
      <c r="J135" s="14">
        <f>IF(TbRegistroEntradas[[#This Row],[Data do Caixa Realizado]]="",0,YEAR(TbRegistroEntradas[[#This Row],[Data do Caixa Realizado]]))</f>
        <v>2018</v>
      </c>
      <c r="K135" s="14">
        <f>IF(TbRegistroEntradas[[#This Row],[Data da Competência]]="",0,MONTH(TbRegistroEntradas[[#This Row],[Data da Competência]]))</f>
        <v>8</v>
      </c>
      <c r="L135" s="14">
        <f>IF(TbRegistroEntradas[[#This Row],[Data da Competência]]="",0,YEAR(TbRegistroEntradas[[#This Row],[Data da Competência]]))</f>
        <v>2018</v>
      </c>
      <c r="M135" s="14">
        <f>IF(TbRegistroEntradas[[#This Row],[Data do Caixa Previsto]]="",0,MONTH(TbRegistroEntradas[[#This Row],[Data do Caixa Previsto]]))</f>
        <v>8</v>
      </c>
      <c r="N135" s="14">
        <f>IF(TbRegistroEntradas[[#This Row],[Data do Caixa Previsto]]="",0,YEAR(TbRegistroEntradas[[#This Row],[Data do Caixa Previsto]]))</f>
        <v>2018</v>
      </c>
      <c r="O135" s="14" t="str">
        <f>IF(TbRegistroEntradas[[#This Row],[Data da Competência]]=TbRegistroEntradas[[#This Row],[Data do Caixa Previsto]],"Vista","Prazo")</f>
        <v>Vista</v>
      </c>
      <c r="P13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0.31521452199376654</v>
      </c>
      <c r="Q135" s="14" t="str">
        <f ca="1">IF(AND(TbRegistroEntradas[[#This Row],[Data do Caixa Previsto]]&lt;TODAY(),TbRegistroEntradas[[#This Row],[Data do Caixa Realizado]]=""),"Vencida","Não vencida")</f>
        <v>Não vencida</v>
      </c>
    </row>
    <row r="136" spans="2:17" x14ac:dyDescent="0.25">
      <c r="B136" s="13">
        <v>43388.49957155843</v>
      </c>
      <c r="C136" s="13">
        <v>43336</v>
      </c>
      <c r="D136" s="13">
        <v>43336</v>
      </c>
      <c r="E136" s="14" t="s">
        <v>0</v>
      </c>
      <c r="F136" s="14" t="s">
        <v>49</v>
      </c>
      <c r="G136" s="14" t="s">
        <v>212</v>
      </c>
      <c r="H136" s="15">
        <v>4287</v>
      </c>
      <c r="I136" s="14">
        <f>IF(TbRegistroEntradas[[#This Row],[Data do Caixa Realizado]]="",0,MONTH(TbRegistroEntradas[[#This Row],[Data do Caixa Realizado]]))</f>
        <v>10</v>
      </c>
      <c r="J136" s="14">
        <f>IF(TbRegistroEntradas[[#This Row],[Data do Caixa Realizado]]="",0,YEAR(TbRegistroEntradas[[#This Row],[Data do Caixa Realizado]]))</f>
        <v>2018</v>
      </c>
      <c r="K136" s="14">
        <f>IF(TbRegistroEntradas[[#This Row],[Data da Competência]]="",0,MONTH(TbRegistroEntradas[[#This Row],[Data da Competência]]))</f>
        <v>8</v>
      </c>
      <c r="L136" s="14">
        <f>IF(TbRegistroEntradas[[#This Row],[Data da Competência]]="",0,YEAR(TbRegistroEntradas[[#This Row],[Data da Competência]]))</f>
        <v>2018</v>
      </c>
      <c r="M136" s="14">
        <f>IF(TbRegistroEntradas[[#This Row],[Data do Caixa Previsto]]="",0,MONTH(TbRegistroEntradas[[#This Row],[Data do Caixa Previsto]]))</f>
        <v>8</v>
      </c>
      <c r="N136" s="14">
        <f>IF(TbRegistroEntradas[[#This Row],[Data do Caixa Previsto]]="",0,YEAR(TbRegistroEntradas[[#This Row],[Data do Caixa Previsto]]))</f>
        <v>2018</v>
      </c>
      <c r="O136" s="14" t="str">
        <f>IF(TbRegistroEntradas[[#This Row],[Data da Competência]]=TbRegistroEntradas[[#This Row],[Data do Caixa Previsto]],"Vista","Prazo")</f>
        <v>Vista</v>
      </c>
      <c r="P13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52.499571558430034</v>
      </c>
      <c r="Q136" s="14" t="str">
        <f ca="1">IF(AND(TbRegistroEntradas[[#This Row],[Data do Caixa Previsto]]&lt;TODAY(),TbRegistroEntradas[[#This Row],[Data do Caixa Realizado]]=""),"Vencida","Não vencida")</f>
        <v>Não vencida</v>
      </c>
    </row>
    <row r="137" spans="2:17" x14ac:dyDescent="0.25">
      <c r="B137" s="13">
        <v>43395.898810917068</v>
      </c>
      <c r="C137" s="13">
        <v>43338</v>
      </c>
      <c r="D137" s="13">
        <v>43395.898810917068</v>
      </c>
      <c r="E137" s="14" t="s">
        <v>0</v>
      </c>
      <c r="F137" s="14" t="s">
        <v>49</v>
      </c>
      <c r="G137" s="14" t="s">
        <v>213</v>
      </c>
      <c r="H137" s="15">
        <v>4857</v>
      </c>
      <c r="I137" s="14">
        <f>IF(TbRegistroEntradas[[#This Row],[Data do Caixa Realizado]]="",0,MONTH(TbRegistroEntradas[[#This Row],[Data do Caixa Realizado]]))</f>
        <v>10</v>
      </c>
      <c r="J137" s="14">
        <f>IF(TbRegistroEntradas[[#This Row],[Data do Caixa Realizado]]="",0,YEAR(TbRegistroEntradas[[#This Row],[Data do Caixa Realizado]]))</f>
        <v>2018</v>
      </c>
      <c r="K137" s="14">
        <f>IF(TbRegistroEntradas[[#This Row],[Data da Competência]]="",0,MONTH(TbRegistroEntradas[[#This Row],[Data da Competência]]))</f>
        <v>8</v>
      </c>
      <c r="L137" s="14">
        <f>IF(TbRegistroEntradas[[#This Row],[Data da Competência]]="",0,YEAR(TbRegistroEntradas[[#This Row],[Data da Competência]]))</f>
        <v>2018</v>
      </c>
      <c r="M137" s="14">
        <f>IF(TbRegistroEntradas[[#This Row],[Data do Caixa Previsto]]="",0,MONTH(TbRegistroEntradas[[#This Row],[Data do Caixa Previsto]]))</f>
        <v>10</v>
      </c>
      <c r="N137" s="14">
        <f>IF(TbRegistroEntradas[[#This Row],[Data do Caixa Previsto]]="",0,YEAR(TbRegistroEntradas[[#This Row],[Data do Caixa Previsto]]))</f>
        <v>2018</v>
      </c>
      <c r="O137" s="14" t="str">
        <f>IF(TbRegistroEntradas[[#This Row],[Data da Competência]]=TbRegistroEntradas[[#This Row],[Data do Caixa Previsto]],"Vista","Prazo")</f>
        <v>Prazo</v>
      </c>
      <c r="P13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7" s="14" t="str">
        <f ca="1">IF(AND(TbRegistroEntradas[[#This Row],[Data do Caixa Previsto]]&lt;TODAY(),TbRegistroEntradas[[#This Row],[Data do Caixa Realizado]]=""),"Vencida","Não vencida")</f>
        <v>Não vencida</v>
      </c>
    </row>
    <row r="138" spans="2:17" x14ac:dyDescent="0.25">
      <c r="B138" s="13">
        <v>43393.910050358987</v>
      </c>
      <c r="C138" s="13">
        <v>43342</v>
      </c>
      <c r="D138" s="13">
        <v>43393.910050358987</v>
      </c>
      <c r="E138" s="14" t="s">
        <v>0</v>
      </c>
      <c r="F138" s="14" t="s">
        <v>24</v>
      </c>
      <c r="G138" s="14" t="s">
        <v>214</v>
      </c>
      <c r="H138" s="15">
        <v>507</v>
      </c>
      <c r="I138" s="14">
        <f>IF(TbRegistroEntradas[[#This Row],[Data do Caixa Realizado]]="",0,MONTH(TbRegistroEntradas[[#This Row],[Data do Caixa Realizado]]))</f>
        <v>10</v>
      </c>
      <c r="J138" s="14">
        <f>IF(TbRegistroEntradas[[#This Row],[Data do Caixa Realizado]]="",0,YEAR(TbRegistroEntradas[[#This Row],[Data do Caixa Realizado]]))</f>
        <v>2018</v>
      </c>
      <c r="K138" s="14">
        <f>IF(TbRegistroEntradas[[#This Row],[Data da Competência]]="",0,MONTH(TbRegistroEntradas[[#This Row],[Data da Competência]]))</f>
        <v>8</v>
      </c>
      <c r="L138" s="14">
        <f>IF(TbRegistroEntradas[[#This Row],[Data da Competência]]="",0,YEAR(TbRegistroEntradas[[#This Row],[Data da Competência]]))</f>
        <v>2018</v>
      </c>
      <c r="M138" s="14">
        <f>IF(TbRegistroEntradas[[#This Row],[Data do Caixa Previsto]]="",0,MONTH(TbRegistroEntradas[[#This Row],[Data do Caixa Previsto]]))</f>
        <v>10</v>
      </c>
      <c r="N138" s="14">
        <f>IF(TbRegistroEntradas[[#This Row],[Data do Caixa Previsto]]="",0,YEAR(TbRegistroEntradas[[#This Row],[Data do Caixa Previsto]]))</f>
        <v>2018</v>
      </c>
      <c r="O138" s="14" t="str">
        <f>IF(TbRegistroEntradas[[#This Row],[Data da Competência]]=TbRegistroEntradas[[#This Row],[Data do Caixa Previsto]],"Vista","Prazo")</f>
        <v>Prazo</v>
      </c>
      <c r="P13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8" s="14" t="str">
        <f ca="1">IF(AND(TbRegistroEntradas[[#This Row],[Data do Caixa Previsto]]&lt;TODAY(),TbRegistroEntradas[[#This Row],[Data do Caixa Realizado]]=""),"Vencida","Não vencida")</f>
        <v>Não vencida</v>
      </c>
    </row>
    <row r="139" spans="2:17" x14ac:dyDescent="0.25">
      <c r="B139" s="13">
        <v>43354.387651420941</v>
      </c>
      <c r="C139" s="13">
        <v>43343</v>
      </c>
      <c r="D139" s="13">
        <v>43354.387651420941</v>
      </c>
      <c r="E139" s="14" t="s">
        <v>0</v>
      </c>
      <c r="F139" s="14" t="s">
        <v>3</v>
      </c>
      <c r="G139" s="14" t="s">
        <v>215</v>
      </c>
      <c r="H139" s="15">
        <v>2467</v>
      </c>
      <c r="I139" s="14">
        <f>IF(TbRegistroEntradas[[#This Row],[Data do Caixa Realizado]]="",0,MONTH(TbRegistroEntradas[[#This Row],[Data do Caixa Realizado]]))</f>
        <v>9</v>
      </c>
      <c r="J139" s="14">
        <f>IF(TbRegistroEntradas[[#This Row],[Data do Caixa Realizado]]="",0,YEAR(TbRegistroEntradas[[#This Row],[Data do Caixa Realizado]]))</f>
        <v>2018</v>
      </c>
      <c r="K139" s="14">
        <f>IF(TbRegistroEntradas[[#This Row],[Data da Competência]]="",0,MONTH(TbRegistroEntradas[[#This Row],[Data da Competência]]))</f>
        <v>8</v>
      </c>
      <c r="L139" s="14">
        <f>IF(TbRegistroEntradas[[#This Row],[Data da Competência]]="",0,YEAR(TbRegistroEntradas[[#This Row],[Data da Competência]]))</f>
        <v>2018</v>
      </c>
      <c r="M139" s="14">
        <f>IF(TbRegistroEntradas[[#This Row],[Data do Caixa Previsto]]="",0,MONTH(TbRegistroEntradas[[#This Row],[Data do Caixa Previsto]]))</f>
        <v>9</v>
      </c>
      <c r="N139" s="14">
        <f>IF(TbRegistroEntradas[[#This Row],[Data do Caixa Previsto]]="",0,YEAR(TbRegistroEntradas[[#This Row],[Data do Caixa Previsto]]))</f>
        <v>2018</v>
      </c>
      <c r="O139" s="14" t="str">
        <f>IF(TbRegistroEntradas[[#This Row],[Data da Competência]]=TbRegistroEntradas[[#This Row],[Data do Caixa Previsto]],"Vista","Prazo")</f>
        <v>Prazo</v>
      </c>
      <c r="P13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9" s="14" t="str">
        <f ca="1">IF(AND(TbRegistroEntradas[[#This Row],[Data do Caixa Previsto]]&lt;TODAY(),TbRegistroEntradas[[#This Row],[Data do Caixa Realizado]]=""),"Vencida","Não vencida")</f>
        <v>Não vencida</v>
      </c>
    </row>
    <row r="140" spans="2:17" x14ac:dyDescent="0.25">
      <c r="B140" s="13" t="s">
        <v>92</v>
      </c>
      <c r="C140" s="13">
        <v>43344</v>
      </c>
      <c r="D140" s="13">
        <v>43370.663792328756</v>
      </c>
      <c r="E140" s="14" t="s">
        <v>0</v>
      </c>
      <c r="F140" s="14" t="s">
        <v>24</v>
      </c>
      <c r="G140" s="14" t="s">
        <v>216</v>
      </c>
      <c r="H140" s="15">
        <v>4253</v>
      </c>
      <c r="I140" s="14">
        <f>IF(TbRegistroEntradas[[#This Row],[Data do Caixa Realizado]]="",0,MONTH(TbRegistroEntradas[[#This Row],[Data do Caixa Realizado]]))</f>
        <v>0</v>
      </c>
      <c r="J140" s="14">
        <f>IF(TbRegistroEntradas[[#This Row],[Data do Caixa Realizado]]="",0,YEAR(TbRegistroEntradas[[#This Row],[Data do Caixa Realizado]]))</f>
        <v>0</v>
      </c>
      <c r="K140" s="14">
        <f>IF(TbRegistroEntradas[[#This Row],[Data da Competência]]="",0,MONTH(TbRegistroEntradas[[#This Row],[Data da Competência]]))</f>
        <v>9</v>
      </c>
      <c r="L140" s="14">
        <f>IF(TbRegistroEntradas[[#This Row],[Data da Competência]]="",0,YEAR(TbRegistroEntradas[[#This Row],[Data da Competência]]))</f>
        <v>2018</v>
      </c>
      <c r="M140" s="14">
        <f>IF(TbRegistroEntradas[[#This Row],[Data do Caixa Previsto]]="",0,MONTH(TbRegistroEntradas[[#This Row],[Data do Caixa Previsto]]))</f>
        <v>9</v>
      </c>
      <c r="N140" s="14">
        <f>IF(TbRegistroEntradas[[#This Row],[Data do Caixa Previsto]]="",0,YEAR(TbRegistroEntradas[[#This Row],[Data do Caixa Previsto]]))</f>
        <v>2018</v>
      </c>
      <c r="O140" s="14" t="str">
        <f>IF(TbRegistroEntradas[[#This Row],[Data da Competência]]=TbRegistroEntradas[[#This Row],[Data do Caixa Previsto]],"Vista","Prazo")</f>
        <v>Prazo</v>
      </c>
      <c r="P14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2023.3362076712438</v>
      </c>
      <c r="Q140" s="14" t="str">
        <f ca="1">IF(AND(TbRegistroEntradas[[#This Row],[Data do Caixa Previsto]]&lt;TODAY(),TbRegistroEntradas[[#This Row],[Data do Caixa Realizado]]=""),"Vencida","Não vencida")</f>
        <v>Vencida</v>
      </c>
    </row>
    <row r="141" spans="2:17" x14ac:dyDescent="0.25">
      <c r="B141" s="13">
        <v>43357.782262904322</v>
      </c>
      <c r="C141" s="13">
        <v>43350</v>
      </c>
      <c r="D141" s="13">
        <v>43350</v>
      </c>
      <c r="E141" s="14" t="s">
        <v>0</v>
      </c>
      <c r="F141" s="14" t="s">
        <v>49</v>
      </c>
      <c r="G141" s="14" t="s">
        <v>217</v>
      </c>
      <c r="H141" s="15">
        <v>2391</v>
      </c>
      <c r="I141" s="14">
        <f>IF(TbRegistroEntradas[[#This Row],[Data do Caixa Realizado]]="",0,MONTH(TbRegistroEntradas[[#This Row],[Data do Caixa Realizado]]))</f>
        <v>9</v>
      </c>
      <c r="J141" s="14">
        <f>IF(TbRegistroEntradas[[#This Row],[Data do Caixa Realizado]]="",0,YEAR(TbRegistroEntradas[[#This Row],[Data do Caixa Realizado]]))</f>
        <v>2018</v>
      </c>
      <c r="K141" s="14">
        <f>IF(TbRegistroEntradas[[#This Row],[Data da Competência]]="",0,MONTH(TbRegistroEntradas[[#This Row],[Data da Competência]]))</f>
        <v>9</v>
      </c>
      <c r="L141" s="14">
        <f>IF(TbRegistroEntradas[[#This Row],[Data da Competência]]="",0,YEAR(TbRegistroEntradas[[#This Row],[Data da Competência]]))</f>
        <v>2018</v>
      </c>
      <c r="M141" s="14">
        <f>IF(TbRegistroEntradas[[#This Row],[Data do Caixa Previsto]]="",0,MONTH(TbRegistroEntradas[[#This Row],[Data do Caixa Previsto]]))</f>
        <v>9</v>
      </c>
      <c r="N141" s="14">
        <f>IF(TbRegistroEntradas[[#This Row],[Data do Caixa Previsto]]="",0,YEAR(TbRegistroEntradas[[#This Row],[Data do Caixa Previsto]]))</f>
        <v>2018</v>
      </c>
      <c r="O141" s="14" t="str">
        <f>IF(TbRegistroEntradas[[#This Row],[Data da Competência]]=TbRegistroEntradas[[#This Row],[Data do Caixa Previsto]],"Vista","Prazo")</f>
        <v>Vista</v>
      </c>
      <c r="P14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7.7822629043221241</v>
      </c>
      <c r="Q141" s="14" t="str">
        <f ca="1">IF(AND(TbRegistroEntradas[[#This Row],[Data do Caixa Previsto]]&lt;TODAY(),TbRegistroEntradas[[#This Row],[Data do Caixa Realizado]]=""),"Vencida","Não vencida")</f>
        <v>Não vencida</v>
      </c>
    </row>
    <row r="142" spans="2:17" x14ac:dyDescent="0.25">
      <c r="B142" s="13">
        <v>43370.746792358121</v>
      </c>
      <c r="C142" s="13">
        <v>43352</v>
      </c>
      <c r="D142" s="13">
        <v>43365.799147030826</v>
      </c>
      <c r="E142" s="14" t="s">
        <v>0</v>
      </c>
      <c r="F142" s="14" t="s">
        <v>24</v>
      </c>
      <c r="G142" s="14" t="s">
        <v>218</v>
      </c>
      <c r="H142" s="15">
        <v>3669</v>
      </c>
      <c r="I142" s="14">
        <f>IF(TbRegistroEntradas[[#This Row],[Data do Caixa Realizado]]="",0,MONTH(TbRegistroEntradas[[#This Row],[Data do Caixa Realizado]]))</f>
        <v>9</v>
      </c>
      <c r="J142" s="14">
        <f>IF(TbRegistroEntradas[[#This Row],[Data do Caixa Realizado]]="",0,YEAR(TbRegistroEntradas[[#This Row],[Data do Caixa Realizado]]))</f>
        <v>2018</v>
      </c>
      <c r="K142" s="14">
        <f>IF(TbRegistroEntradas[[#This Row],[Data da Competência]]="",0,MONTH(TbRegistroEntradas[[#This Row],[Data da Competência]]))</f>
        <v>9</v>
      </c>
      <c r="L142" s="14">
        <f>IF(TbRegistroEntradas[[#This Row],[Data da Competência]]="",0,YEAR(TbRegistroEntradas[[#This Row],[Data da Competência]]))</f>
        <v>2018</v>
      </c>
      <c r="M142" s="14">
        <f>IF(TbRegistroEntradas[[#This Row],[Data do Caixa Previsto]]="",0,MONTH(TbRegistroEntradas[[#This Row],[Data do Caixa Previsto]]))</f>
        <v>9</v>
      </c>
      <c r="N142" s="14">
        <f>IF(TbRegistroEntradas[[#This Row],[Data do Caixa Previsto]]="",0,YEAR(TbRegistroEntradas[[#This Row],[Data do Caixa Previsto]]))</f>
        <v>2018</v>
      </c>
      <c r="O142" s="14" t="str">
        <f>IF(TbRegistroEntradas[[#This Row],[Data da Competência]]=TbRegistroEntradas[[#This Row],[Data do Caixa Previsto]],"Vista","Prazo")</f>
        <v>Prazo</v>
      </c>
      <c r="P14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4.9476453272945946</v>
      </c>
      <c r="Q142" s="14" t="str">
        <f ca="1">IF(AND(TbRegistroEntradas[[#This Row],[Data do Caixa Previsto]]&lt;TODAY(),TbRegistroEntradas[[#This Row],[Data do Caixa Realizado]]=""),"Vencida","Não vencida")</f>
        <v>Não vencida</v>
      </c>
    </row>
    <row r="143" spans="2:17" x14ac:dyDescent="0.25">
      <c r="B143" s="13">
        <v>43452.502445224149</v>
      </c>
      <c r="C143" s="13">
        <v>43355</v>
      </c>
      <c r="D143" s="13">
        <v>43383.231108677093</v>
      </c>
      <c r="E143" s="14" t="s">
        <v>0</v>
      </c>
      <c r="F143" s="14" t="s">
        <v>24</v>
      </c>
      <c r="G143" s="14" t="s">
        <v>219</v>
      </c>
      <c r="H143" s="15">
        <v>1207</v>
      </c>
      <c r="I143" s="14">
        <f>IF(TbRegistroEntradas[[#This Row],[Data do Caixa Realizado]]="",0,MONTH(TbRegistroEntradas[[#This Row],[Data do Caixa Realizado]]))</f>
        <v>12</v>
      </c>
      <c r="J143" s="14">
        <f>IF(TbRegistroEntradas[[#This Row],[Data do Caixa Realizado]]="",0,YEAR(TbRegistroEntradas[[#This Row],[Data do Caixa Realizado]]))</f>
        <v>2018</v>
      </c>
      <c r="K143" s="14">
        <f>IF(TbRegistroEntradas[[#This Row],[Data da Competência]]="",0,MONTH(TbRegistroEntradas[[#This Row],[Data da Competência]]))</f>
        <v>9</v>
      </c>
      <c r="L143" s="14">
        <f>IF(TbRegistroEntradas[[#This Row],[Data da Competência]]="",0,YEAR(TbRegistroEntradas[[#This Row],[Data da Competência]]))</f>
        <v>2018</v>
      </c>
      <c r="M143" s="14">
        <f>IF(TbRegistroEntradas[[#This Row],[Data do Caixa Previsto]]="",0,MONTH(TbRegistroEntradas[[#This Row],[Data do Caixa Previsto]]))</f>
        <v>10</v>
      </c>
      <c r="N143" s="14">
        <f>IF(TbRegistroEntradas[[#This Row],[Data do Caixa Previsto]]="",0,YEAR(TbRegistroEntradas[[#This Row],[Data do Caixa Previsto]]))</f>
        <v>2018</v>
      </c>
      <c r="O143" s="14" t="str">
        <f>IF(TbRegistroEntradas[[#This Row],[Data da Competência]]=TbRegistroEntradas[[#This Row],[Data do Caixa Previsto]],"Vista","Prazo")</f>
        <v>Prazo</v>
      </c>
      <c r="P14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69.271336547055398</v>
      </c>
      <c r="Q143" s="14" t="str">
        <f ca="1">IF(AND(TbRegistroEntradas[[#This Row],[Data do Caixa Previsto]]&lt;TODAY(),TbRegistroEntradas[[#This Row],[Data do Caixa Realizado]]=""),"Vencida","Não vencida")</f>
        <v>Não vencida</v>
      </c>
    </row>
    <row r="144" spans="2:17" x14ac:dyDescent="0.25">
      <c r="B144" s="13">
        <v>43412.045933493078</v>
      </c>
      <c r="C144" s="13">
        <v>43361</v>
      </c>
      <c r="D144" s="13">
        <v>43412.045933493078</v>
      </c>
      <c r="E144" s="14" t="s">
        <v>0</v>
      </c>
      <c r="F144" s="14" t="s">
        <v>3</v>
      </c>
      <c r="G144" s="14" t="s">
        <v>220</v>
      </c>
      <c r="H144" s="15">
        <v>2539</v>
      </c>
      <c r="I144" s="14">
        <f>IF(TbRegistroEntradas[[#This Row],[Data do Caixa Realizado]]="",0,MONTH(TbRegistroEntradas[[#This Row],[Data do Caixa Realizado]]))</f>
        <v>11</v>
      </c>
      <c r="J144" s="14">
        <f>IF(TbRegistroEntradas[[#This Row],[Data do Caixa Realizado]]="",0,YEAR(TbRegistroEntradas[[#This Row],[Data do Caixa Realizado]]))</f>
        <v>2018</v>
      </c>
      <c r="K144" s="14">
        <f>IF(TbRegistroEntradas[[#This Row],[Data da Competência]]="",0,MONTH(TbRegistroEntradas[[#This Row],[Data da Competência]]))</f>
        <v>9</v>
      </c>
      <c r="L144" s="14">
        <f>IF(TbRegistroEntradas[[#This Row],[Data da Competência]]="",0,YEAR(TbRegistroEntradas[[#This Row],[Data da Competência]]))</f>
        <v>2018</v>
      </c>
      <c r="M144" s="14">
        <f>IF(TbRegistroEntradas[[#This Row],[Data do Caixa Previsto]]="",0,MONTH(TbRegistroEntradas[[#This Row],[Data do Caixa Previsto]]))</f>
        <v>11</v>
      </c>
      <c r="N144" s="14">
        <f>IF(TbRegistroEntradas[[#This Row],[Data do Caixa Previsto]]="",0,YEAR(TbRegistroEntradas[[#This Row],[Data do Caixa Previsto]]))</f>
        <v>2018</v>
      </c>
      <c r="O144" s="14" t="str">
        <f>IF(TbRegistroEntradas[[#This Row],[Data da Competência]]=TbRegistroEntradas[[#This Row],[Data do Caixa Previsto]],"Vista","Prazo")</f>
        <v>Prazo</v>
      </c>
      <c r="P14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44" s="14" t="str">
        <f ca="1">IF(AND(TbRegistroEntradas[[#This Row],[Data do Caixa Previsto]]&lt;TODAY(),TbRegistroEntradas[[#This Row],[Data do Caixa Realizado]]=""),"Vencida","Não vencida")</f>
        <v>Não vencida</v>
      </c>
    </row>
    <row r="145" spans="2:17" x14ac:dyDescent="0.25">
      <c r="B145" s="13">
        <v>43374.505096957248</v>
      </c>
      <c r="C145" s="13">
        <v>43363</v>
      </c>
      <c r="D145" s="13">
        <v>43374.505096957248</v>
      </c>
      <c r="E145" s="14" t="s">
        <v>0</v>
      </c>
      <c r="F145" s="14" t="s">
        <v>5</v>
      </c>
      <c r="G145" s="14" t="s">
        <v>221</v>
      </c>
      <c r="H145" s="15">
        <v>2895</v>
      </c>
      <c r="I145" s="14">
        <f>IF(TbRegistroEntradas[[#This Row],[Data do Caixa Realizado]]="",0,MONTH(TbRegistroEntradas[[#This Row],[Data do Caixa Realizado]]))</f>
        <v>10</v>
      </c>
      <c r="J145" s="14">
        <f>IF(TbRegistroEntradas[[#This Row],[Data do Caixa Realizado]]="",0,YEAR(TbRegistroEntradas[[#This Row],[Data do Caixa Realizado]]))</f>
        <v>2018</v>
      </c>
      <c r="K145" s="14">
        <f>IF(TbRegistroEntradas[[#This Row],[Data da Competência]]="",0,MONTH(TbRegistroEntradas[[#This Row],[Data da Competência]]))</f>
        <v>9</v>
      </c>
      <c r="L145" s="14">
        <f>IF(TbRegistroEntradas[[#This Row],[Data da Competência]]="",0,YEAR(TbRegistroEntradas[[#This Row],[Data da Competência]]))</f>
        <v>2018</v>
      </c>
      <c r="M145" s="14">
        <f>IF(TbRegistroEntradas[[#This Row],[Data do Caixa Previsto]]="",0,MONTH(TbRegistroEntradas[[#This Row],[Data do Caixa Previsto]]))</f>
        <v>10</v>
      </c>
      <c r="N145" s="14">
        <f>IF(TbRegistroEntradas[[#This Row],[Data do Caixa Previsto]]="",0,YEAR(TbRegistroEntradas[[#This Row],[Data do Caixa Previsto]]))</f>
        <v>2018</v>
      </c>
      <c r="O145" s="14" t="str">
        <f>IF(TbRegistroEntradas[[#This Row],[Data da Competência]]=TbRegistroEntradas[[#This Row],[Data do Caixa Previsto]],"Vista","Prazo")</f>
        <v>Prazo</v>
      </c>
      <c r="P14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45" s="14" t="str">
        <f ca="1">IF(AND(TbRegistroEntradas[[#This Row],[Data do Caixa Previsto]]&lt;TODAY(),TbRegistroEntradas[[#This Row],[Data do Caixa Realizado]]=""),"Vencida","Não vencida")</f>
        <v>Não vencida</v>
      </c>
    </row>
    <row r="146" spans="2:17" x14ac:dyDescent="0.25">
      <c r="B146" s="13">
        <v>43388.790596442639</v>
      </c>
      <c r="C146" s="13">
        <v>43364</v>
      </c>
      <c r="D146" s="13">
        <v>43364</v>
      </c>
      <c r="E146" s="14" t="s">
        <v>0</v>
      </c>
      <c r="F146" s="14" t="s">
        <v>24</v>
      </c>
      <c r="G146" s="14" t="s">
        <v>222</v>
      </c>
      <c r="H146" s="15">
        <v>2106</v>
      </c>
      <c r="I146" s="14">
        <f>IF(TbRegistroEntradas[[#This Row],[Data do Caixa Realizado]]="",0,MONTH(TbRegistroEntradas[[#This Row],[Data do Caixa Realizado]]))</f>
        <v>10</v>
      </c>
      <c r="J146" s="14">
        <f>IF(TbRegistroEntradas[[#This Row],[Data do Caixa Realizado]]="",0,YEAR(TbRegistroEntradas[[#This Row],[Data do Caixa Realizado]]))</f>
        <v>2018</v>
      </c>
      <c r="K146" s="14">
        <f>IF(TbRegistroEntradas[[#This Row],[Data da Competência]]="",0,MONTH(TbRegistroEntradas[[#This Row],[Data da Competência]]))</f>
        <v>9</v>
      </c>
      <c r="L146" s="14">
        <f>IF(TbRegistroEntradas[[#This Row],[Data da Competência]]="",0,YEAR(TbRegistroEntradas[[#This Row],[Data da Competência]]))</f>
        <v>2018</v>
      </c>
      <c r="M146" s="14">
        <f>IF(TbRegistroEntradas[[#This Row],[Data do Caixa Previsto]]="",0,MONTH(TbRegistroEntradas[[#This Row],[Data do Caixa Previsto]]))</f>
        <v>9</v>
      </c>
      <c r="N146" s="14">
        <f>IF(TbRegistroEntradas[[#This Row],[Data do Caixa Previsto]]="",0,YEAR(TbRegistroEntradas[[#This Row],[Data do Caixa Previsto]]))</f>
        <v>2018</v>
      </c>
      <c r="O146" s="14" t="str">
        <f>IF(TbRegistroEntradas[[#This Row],[Data da Competência]]=TbRegistroEntradas[[#This Row],[Data do Caixa Previsto]],"Vista","Prazo")</f>
        <v>Vista</v>
      </c>
      <c r="P14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24.790596442639071</v>
      </c>
      <c r="Q146" s="14" t="str">
        <f ca="1">IF(AND(TbRegistroEntradas[[#This Row],[Data do Caixa Previsto]]&lt;TODAY(),TbRegistroEntradas[[#This Row],[Data do Caixa Realizado]]=""),"Vencida","Não vencida")</f>
        <v>Não vencida</v>
      </c>
    </row>
    <row r="147" spans="2:17" x14ac:dyDescent="0.25">
      <c r="B147" s="13">
        <v>43405.698265794999</v>
      </c>
      <c r="C147" s="13">
        <v>43366</v>
      </c>
      <c r="D147" s="13">
        <v>43405.698265794999</v>
      </c>
      <c r="E147" s="14" t="s">
        <v>0</v>
      </c>
      <c r="F147" s="14" t="s">
        <v>5</v>
      </c>
      <c r="G147" s="14" t="s">
        <v>223</v>
      </c>
      <c r="H147" s="15">
        <v>3742</v>
      </c>
      <c r="I147" s="14">
        <f>IF(TbRegistroEntradas[[#This Row],[Data do Caixa Realizado]]="",0,MONTH(TbRegistroEntradas[[#This Row],[Data do Caixa Realizado]]))</f>
        <v>11</v>
      </c>
      <c r="J147" s="14">
        <f>IF(TbRegistroEntradas[[#This Row],[Data do Caixa Realizado]]="",0,YEAR(TbRegistroEntradas[[#This Row],[Data do Caixa Realizado]]))</f>
        <v>2018</v>
      </c>
      <c r="K147" s="14">
        <f>IF(TbRegistroEntradas[[#This Row],[Data da Competência]]="",0,MONTH(TbRegistroEntradas[[#This Row],[Data da Competência]]))</f>
        <v>9</v>
      </c>
      <c r="L147" s="14">
        <f>IF(TbRegistroEntradas[[#This Row],[Data da Competência]]="",0,YEAR(TbRegistroEntradas[[#This Row],[Data da Competência]]))</f>
        <v>2018</v>
      </c>
      <c r="M147" s="14">
        <f>IF(TbRegistroEntradas[[#This Row],[Data do Caixa Previsto]]="",0,MONTH(TbRegistroEntradas[[#This Row],[Data do Caixa Previsto]]))</f>
        <v>11</v>
      </c>
      <c r="N147" s="14">
        <f>IF(TbRegistroEntradas[[#This Row],[Data do Caixa Previsto]]="",0,YEAR(TbRegistroEntradas[[#This Row],[Data do Caixa Previsto]]))</f>
        <v>2018</v>
      </c>
      <c r="O147" s="14" t="str">
        <f>IF(TbRegistroEntradas[[#This Row],[Data da Competência]]=TbRegistroEntradas[[#This Row],[Data do Caixa Previsto]],"Vista","Prazo")</f>
        <v>Prazo</v>
      </c>
      <c r="P14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47" s="14" t="str">
        <f ca="1">IF(AND(TbRegistroEntradas[[#This Row],[Data do Caixa Previsto]]&lt;TODAY(),TbRegistroEntradas[[#This Row],[Data do Caixa Realizado]]=""),"Vencida","Não vencida")</f>
        <v>Não vencida</v>
      </c>
    </row>
    <row r="148" spans="2:17" x14ac:dyDescent="0.25">
      <c r="B148" s="13">
        <v>43395.635115246572</v>
      </c>
      <c r="C148" s="13">
        <v>43369</v>
      </c>
      <c r="D148" s="13">
        <v>43369</v>
      </c>
      <c r="E148" s="14" t="s">
        <v>0</v>
      </c>
      <c r="F148" s="14" t="s">
        <v>3</v>
      </c>
      <c r="G148" s="14" t="s">
        <v>224</v>
      </c>
      <c r="H148" s="15">
        <v>3222</v>
      </c>
      <c r="I148" s="14">
        <f>IF(TbRegistroEntradas[[#This Row],[Data do Caixa Realizado]]="",0,MONTH(TbRegistroEntradas[[#This Row],[Data do Caixa Realizado]]))</f>
        <v>10</v>
      </c>
      <c r="J148" s="14">
        <f>IF(TbRegistroEntradas[[#This Row],[Data do Caixa Realizado]]="",0,YEAR(TbRegistroEntradas[[#This Row],[Data do Caixa Realizado]]))</f>
        <v>2018</v>
      </c>
      <c r="K148" s="14">
        <f>IF(TbRegistroEntradas[[#This Row],[Data da Competência]]="",0,MONTH(TbRegistroEntradas[[#This Row],[Data da Competência]]))</f>
        <v>9</v>
      </c>
      <c r="L148" s="14">
        <f>IF(TbRegistroEntradas[[#This Row],[Data da Competência]]="",0,YEAR(TbRegistroEntradas[[#This Row],[Data da Competência]]))</f>
        <v>2018</v>
      </c>
      <c r="M148" s="14">
        <f>IF(TbRegistroEntradas[[#This Row],[Data do Caixa Previsto]]="",0,MONTH(TbRegistroEntradas[[#This Row],[Data do Caixa Previsto]]))</f>
        <v>9</v>
      </c>
      <c r="N148" s="14">
        <f>IF(TbRegistroEntradas[[#This Row],[Data do Caixa Previsto]]="",0,YEAR(TbRegistroEntradas[[#This Row],[Data do Caixa Previsto]]))</f>
        <v>2018</v>
      </c>
      <c r="O148" s="14" t="str">
        <f>IF(TbRegistroEntradas[[#This Row],[Data da Competência]]=TbRegistroEntradas[[#This Row],[Data do Caixa Previsto]],"Vista","Prazo")</f>
        <v>Vista</v>
      </c>
      <c r="P14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26.635115246572241</v>
      </c>
      <c r="Q148" s="14" t="str">
        <f ca="1">IF(AND(TbRegistroEntradas[[#This Row],[Data do Caixa Previsto]]&lt;TODAY(),TbRegistroEntradas[[#This Row],[Data do Caixa Realizado]]=""),"Vencida","Não vencida")</f>
        <v>Não vencida</v>
      </c>
    </row>
    <row r="149" spans="2:17" x14ac:dyDescent="0.25">
      <c r="B149" s="13">
        <v>43392.294011107704</v>
      </c>
      <c r="C149" s="13">
        <v>43374</v>
      </c>
      <c r="D149" s="13">
        <v>43392.294011107704</v>
      </c>
      <c r="E149" s="14" t="s">
        <v>0</v>
      </c>
      <c r="F149" s="14" t="s">
        <v>24</v>
      </c>
      <c r="G149" s="14" t="s">
        <v>225</v>
      </c>
      <c r="H149" s="15">
        <v>673</v>
      </c>
      <c r="I149" s="14">
        <f>IF(TbRegistroEntradas[[#This Row],[Data do Caixa Realizado]]="",0,MONTH(TbRegistroEntradas[[#This Row],[Data do Caixa Realizado]]))</f>
        <v>10</v>
      </c>
      <c r="J149" s="14">
        <f>IF(TbRegistroEntradas[[#This Row],[Data do Caixa Realizado]]="",0,YEAR(TbRegistroEntradas[[#This Row],[Data do Caixa Realizado]]))</f>
        <v>2018</v>
      </c>
      <c r="K149" s="14">
        <f>IF(TbRegistroEntradas[[#This Row],[Data da Competência]]="",0,MONTH(TbRegistroEntradas[[#This Row],[Data da Competência]]))</f>
        <v>10</v>
      </c>
      <c r="L149" s="14">
        <f>IF(TbRegistroEntradas[[#This Row],[Data da Competência]]="",0,YEAR(TbRegistroEntradas[[#This Row],[Data da Competência]]))</f>
        <v>2018</v>
      </c>
      <c r="M149" s="14">
        <f>IF(TbRegistroEntradas[[#This Row],[Data do Caixa Previsto]]="",0,MONTH(TbRegistroEntradas[[#This Row],[Data do Caixa Previsto]]))</f>
        <v>10</v>
      </c>
      <c r="N149" s="14">
        <f>IF(TbRegistroEntradas[[#This Row],[Data do Caixa Previsto]]="",0,YEAR(TbRegistroEntradas[[#This Row],[Data do Caixa Previsto]]))</f>
        <v>2018</v>
      </c>
      <c r="O149" s="14" t="str">
        <f>IF(TbRegistroEntradas[[#This Row],[Data da Competência]]=TbRegistroEntradas[[#This Row],[Data do Caixa Previsto]],"Vista","Prazo")</f>
        <v>Prazo</v>
      </c>
      <c r="P14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49" s="14" t="str">
        <f ca="1">IF(AND(TbRegistroEntradas[[#This Row],[Data do Caixa Previsto]]&lt;TODAY(),TbRegistroEntradas[[#This Row],[Data do Caixa Realizado]]=""),"Vencida","Não vencida")</f>
        <v>Não vencida</v>
      </c>
    </row>
    <row r="150" spans="2:17" x14ac:dyDescent="0.25">
      <c r="B150" s="13" t="s">
        <v>92</v>
      </c>
      <c r="C150" s="13">
        <v>43378</v>
      </c>
      <c r="D150" s="13">
        <v>43399.816257310325</v>
      </c>
      <c r="E150" s="14" t="s">
        <v>0</v>
      </c>
      <c r="F150" s="14" t="s">
        <v>17</v>
      </c>
      <c r="G150" s="14" t="s">
        <v>226</v>
      </c>
      <c r="H150" s="15">
        <v>4922</v>
      </c>
      <c r="I150" s="14">
        <f>IF(TbRegistroEntradas[[#This Row],[Data do Caixa Realizado]]="",0,MONTH(TbRegistroEntradas[[#This Row],[Data do Caixa Realizado]]))</f>
        <v>0</v>
      </c>
      <c r="J150" s="14">
        <f>IF(TbRegistroEntradas[[#This Row],[Data do Caixa Realizado]]="",0,YEAR(TbRegistroEntradas[[#This Row],[Data do Caixa Realizado]]))</f>
        <v>0</v>
      </c>
      <c r="K150" s="14">
        <f>IF(TbRegistroEntradas[[#This Row],[Data da Competência]]="",0,MONTH(TbRegistroEntradas[[#This Row],[Data da Competência]]))</f>
        <v>10</v>
      </c>
      <c r="L150" s="14">
        <f>IF(TbRegistroEntradas[[#This Row],[Data da Competência]]="",0,YEAR(TbRegistroEntradas[[#This Row],[Data da Competência]]))</f>
        <v>2018</v>
      </c>
      <c r="M150" s="14">
        <f>IF(TbRegistroEntradas[[#This Row],[Data do Caixa Previsto]]="",0,MONTH(TbRegistroEntradas[[#This Row],[Data do Caixa Previsto]]))</f>
        <v>10</v>
      </c>
      <c r="N150" s="14">
        <f>IF(TbRegistroEntradas[[#This Row],[Data do Caixa Previsto]]="",0,YEAR(TbRegistroEntradas[[#This Row],[Data do Caixa Previsto]]))</f>
        <v>2018</v>
      </c>
      <c r="O150" s="14" t="str">
        <f>IF(TbRegistroEntradas[[#This Row],[Data da Competência]]=TbRegistroEntradas[[#This Row],[Data do Caixa Previsto]],"Vista","Prazo")</f>
        <v>Prazo</v>
      </c>
      <c r="P15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1994.1837426896745</v>
      </c>
      <c r="Q150" s="14" t="str">
        <f ca="1">IF(AND(TbRegistroEntradas[[#This Row],[Data do Caixa Previsto]]&lt;TODAY(),TbRegistroEntradas[[#This Row],[Data do Caixa Realizado]]=""),"Vencida","Não vencida")</f>
        <v>Vencida</v>
      </c>
    </row>
    <row r="151" spans="2:17" x14ac:dyDescent="0.25">
      <c r="B151" s="13">
        <v>43491.255960910879</v>
      </c>
      <c r="C151" s="13">
        <v>43382</v>
      </c>
      <c r="D151" s="13">
        <v>43432.893680650159</v>
      </c>
      <c r="E151" s="14" t="s">
        <v>0</v>
      </c>
      <c r="F151" s="14" t="s">
        <v>49</v>
      </c>
      <c r="G151" s="14" t="s">
        <v>227</v>
      </c>
      <c r="H151" s="15">
        <v>1688</v>
      </c>
      <c r="I151" s="14">
        <f>IF(TbRegistroEntradas[[#This Row],[Data do Caixa Realizado]]="",0,MONTH(TbRegistroEntradas[[#This Row],[Data do Caixa Realizado]]))</f>
        <v>1</v>
      </c>
      <c r="J151" s="14">
        <f>IF(TbRegistroEntradas[[#This Row],[Data do Caixa Realizado]]="",0,YEAR(TbRegistroEntradas[[#This Row],[Data do Caixa Realizado]]))</f>
        <v>2019</v>
      </c>
      <c r="K151" s="14">
        <f>IF(TbRegistroEntradas[[#This Row],[Data da Competência]]="",0,MONTH(TbRegistroEntradas[[#This Row],[Data da Competência]]))</f>
        <v>10</v>
      </c>
      <c r="L151" s="14">
        <f>IF(TbRegistroEntradas[[#This Row],[Data da Competência]]="",0,YEAR(TbRegistroEntradas[[#This Row],[Data da Competência]]))</f>
        <v>2018</v>
      </c>
      <c r="M151" s="14">
        <f>IF(TbRegistroEntradas[[#This Row],[Data do Caixa Previsto]]="",0,MONTH(TbRegistroEntradas[[#This Row],[Data do Caixa Previsto]]))</f>
        <v>11</v>
      </c>
      <c r="N151" s="14">
        <f>IF(TbRegistroEntradas[[#This Row],[Data do Caixa Previsto]]="",0,YEAR(TbRegistroEntradas[[#This Row],[Data do Caixa Previsto]]))</f>
        <v>2018</v>
      </c>
      <c r="O151" s="14" t="str">
        <f>IF(TbRegistroEntradas[[#This Row],[Data da Competência]]=TbRegistroEntradas[[#This Row],[Data do Caixa Previsto]],"Vista","Prazo")</f>
        <v>Prazo</v>
      </c>
      <c r="P15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58.362280260720581</v>
      </c>
      <c r="Q151" s="14" t="str">
        <f ca="1">IF(AND(TbRegistroEntradas[[#This Row],[Data do Caixa Previsto]]&lt;TODAY(),TbRegistroEntradas[[#This Row],[Data do Caixa Realizado]]=""),"Vencida","Não vencida")</f>
        <v>Não vencida</v>
      </c>
    </row>
    <row r="152" spans="2:17" x14ac:dyDescent="0.25">
      <c r="B152" s="13">
        <v>43442.77456497735</v>
      </c>
      <c r="C152" s="13">
        <v>43382</v>
      </c>
      <c r="D152" s="13">
        <v>43382</v>
      </c>
      <c r="E152" s="14" t="s">
        <v>0</v>
      </c>
      <c r="F152" s="14" t="s">
        <v>49</v>
      </c>
      <c r="G152" s="14" t="s">
        <v>228</v>
      </c>
      <c r="H152" s="15">
        <v>979</v>
      </c>
      <c r="I152" s="14">
        <f>IF(TbRegistroEntradas[[#This Row],[Data do Caixa Realizado]]="",0,MONTH(TbRegistroEntradas[[#This Row],[Data do Caixa Realizado]]))</f>
        <v>12</v>
      </c>
      <c r="J152" s="14">
        <f>IF(TbRegistroEntradas[[#This Row],[Data do Caixa Realizado]]="",0,YEAR(TbRegistroEntradas[[#This Row],[Data do Caixa Realizado]]))</f>
        <v>2018</v>
      </c>
      <c r="K152" s="14">
        <f>IF(TbRegistroEntradas[[#This Row],[Data da Competência]]="",0,MONTH(TbRegistroEntradas[[#This Row],[Data da Competência]]))</f>
        <v>10</v>
      </c>
      <c r="L152" s="14">
        <f>IF(TbRegistroEntradas[[#This Row],[Data da Competência]]="",0,YEAR(TbRegistroEntradas[[#This Row],[Data da Competência]]))</f>
        <v>2018</v>
      </c>
      <c r="M152" s="14">
        <f>IF(TbRegistroEntradas[[#This Row],[Data do Caixa Previsto]]="",0,MONTH(TbRegistroEntradas[[#This Row],[Data do Caixa Previsto]]))</f>
        <v>10</v>
      </c>
      <c r="N152" s="14">
        <f>IF(TbRegistroEntradas[[#This Row],[Data do Caixa Previsto]]="",0,YEAR(TbRegistroEntradas[[#This Row],[Data do Caixa Previsto]]))</f>
        <v>2018</v>
      </c>
      <c r="O152" s="14" t="str">
        <f>IF(TbRegistroEntradas[[#This Row],[Data da Competência]]=TbRegistroEntradas[[#This Row],[Data do Caixa Previsto]],"Vista","Prazo")</f>
        <v>Vista</v>
      </c>
      <c r="P15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60.774564977349655</v>
      </c>
      <c r="Q152" s="14" t="str">
        <f ca="1">IF(AND(TbRegistroEntradas[[#This Row],[Data do Caixa Previsto]]&lt;TODAY(),TbRegistroEntradas[[#This Row],[Data do Caixa Realizado]]=""),"Vencida","Não vencida")</f>
        <v>Não vencida</v>
      </c>
    </row>
    <row r="153" spans="2:17" x14ac:dyDescent="0.25">
      <c r="B153" s="13">
        <v>43400.871146361249</v>
      </c>
      <c r="C153" s="13">
        <v>43387</v>
      </c>
      <c r="D153" s="13">
        <v>43400.871146361249</v>
      </c>
      <c r="E153" s="14" t="s">
        <v>0</v>
      </c>
      <c r="F153" s="14" t="s">
        <v>24</v>
      </c>
      <c r="G153" s="14" t="s">
        <v>229</v>
      </c>
      <c r="H153" s="15">
        <v>3744</v>
      </c>
      <c r="I153" s="14">
        <f>IF(TbRegistroEntradas[[#This Row],[Data do Caixa Realizado]]="",0,MONTH(TbRegistroEntradas[[#This Row],[Data do Caixa Realizado]]))</f>
        <v>10</v>
      </c>
      <c r="J153" s="14">
        <f>IF(TbRegistroEntradas[[#This Row],[Data do Caixa Realizado]]="",0,YEAR(TbRegistroEntradas[[#This Row],[Data do Caixa Realizado]]))</f>
        <v>2018</v>
      </c>
      <c r="K153" s="14">
        <f>IF(TbRegistroEntradas[[#This Row],[Data da Competência]]="",0,MONTH(TbRegistroEntradas[[#This Row],[Data da Competência]]))</f>
        <v>10</v>
      </c>
      <c r="L153" s="14">
        <f>IF(TbRegistroEntradas[[#This Row],[Data da Competência]]="",0,YEAR(TbRegistroEntradas[[#This Row],[Data da Competência]]))</f>
        <v>2018</v>
      </c>
      <c r="M153" s="14">
        <f>IF(TbRegistroEntradas[[#This Row],[Data do Caixa Previsto]]="",0,MONTH(TbRegistroEntradas[[#This Row],[Data do Caixa Previsto]]))</f>
        <v>10</v>
      </c>
      <c r="N153" s="14">
        <f>IF(TbRegistroEntradas[[#This Row],[Data do Caixa Previsto]]="",0,YEAR(TbRegistroEntradas[[#This Row],[Data do Caixa Previsto]]))</f>
        <v>2018</v>
      </c>
      <c r="O153" s="14" t="str">
        <f>IF(TbRegistroEntradas[[#This Row],[Data da Competência]]=TbRegistroEntradas[[#This Row],[Data do Caixa Previsto]],"Vista","Prazo")</f>
        <v>Prazo</v>
      </c>
      <c r="P15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53" s="14" t="str">
        <f ca="1">IF(AND(TbRegistroEntradas[[#This Row],[Data do Caixa Previsto]]&lt;TODAY(),TbRegistroEntradas[[#This Row],[Data do Caixa Realizado]]=""),"Vencida","Não vencida")</f>
        <v>Não vencida</v>
      </c>
    </row>
    <row r="154" spans="2:17" x14ac:dyDescent="0.25">
      <c r="B154" s="13">
        <v>43438.136766228803</v>
      </c>
      <c r="C154" s="13">
        <v>43389</v>
      </c>
      <c r="D154" s="13">
        <v>43438.136766228803</v>
      </c>
      <c r="E154" s="14" t="s">
        <v>0</v>
      </c>
      <c r="F154" s="14" t="s">
        <v>49</v>
      </c>
      <c r="G154" s="14" t="s">
        <v>230</v>
      </c>
      <c r="H154" s="15">
        <v>4061</v>
      </c>
      <c r="I154" s="14">
        <f>IF(TbRegistroEntradas[[#This Row],[Data do Caixa Realizado]]="",0,MONTH(TbRegistroEntradas[[#This Row],[Data do Caixa Realizado]]))</f>
        <v>12</v>
      </c>
      <c r="J154" s="14">
        <f>IF(TbRegistroEntradas[[#This Row],[Data do Caixa Realizado]]="",0,YEAR(TbRegistroEntradas[[#This Row],[Data do Caixa Realizado]]))</f>
        <v>2018</v>
      </c>
      <c r="K154" s="14">
        <f>IF(TbRegistroEntradas[[#This Row],[Data da Competência]]="",0,MONTH(TbRegistroEntradas[[#This Row],[Data da Competência]]))</f>
        <v>10</v>
      </c>
      <c r="L154" s="14">
        <f>IF(TbRegistroEntradas[[#This Row],[Data da Competência]]="",0,YEAR(TbRegistroEntradas[[#This Row],[Data da Competência]]))</f>
        <v>2018</v>
      </c>
      <c r="M154" s="14">
        <f>IF(TbRegistroEntradas[[#This Row],[Data do Caixa Previsto]]="",0,MONTH(TbRegistroEntradas[[#This Row],[Data do Caixa Previsto]]))</f>
        <v>12</v>
      </c>
      <c r="N154" s="14">
        <f>IF(TbRegistroEntradas[[#This Row],[Data do Caixa Previsto]]="",0,YEAR(TbRegistroEntradas[[#This Row],[Data do Caixa Previsto]]))</f>
        <v>2018</v>
      </c>
      <c r="O154" s="14" t="str">
        <f>IF(TbRegistroEntradas[[#This Row],[Data da Competência]]=TbRegistroEntradas[[#This Row],[Data do Caixa Previsto]],"Vista","Prazo")</f>
        <v>Prazo</v>
      </c>
      <c r="P15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54" s="14" t="str">
        <f ca="1">IF(AND(TbRegistroEntradas[[#This Row],[Data do Caixa Previsto]]&lt;TODAY(),TbRegistroEntradas[[#This Row],[Data do Caixa Realizado]]=""),"Vencida","Não vencida")</f>
        <v>Não vencida</v>
      </c>
    </row>
    <row r="155" spans="2:17" x14ac:dyDescent="0.25">
      <c r="B155" s="13">
        <v>43493.104436604881</v>
      </c>
      <c r="C155" s="13">
        <v>43394</v>
      </c>
      <c r="D155" s="13">
        <v>43435.81232629544</v>
      </c>
      <c r="E155" s="14" t="s">
        <v>0</v>
      </c>
      <c r="F155" s="14" t="s">
        <v>3</v>
      </c>
      <c r="G155" s="14" t="s">
        <v>231</v>
      </c>
      <c r="H155" s="15">
        <v>4404</v>
      </c>
      <c r="I155" s="14">
        <f>IF(TbRegistroEntradas[[#This Row],[Data do Caixa Realizado]]="",0,MONTH(TbRegistroEntradas[[#This Row],[Data do Caixa Realizado]]))</f>
        <v>1</v>
      </c>
      <c r="J155" s="14">
        <f>IF(TbRegistroEntradas[[#This Row],[Data do Caixa Realizado]]="",0,YEAR(TbRegistroEntradas[[#This Row],[Data do Caixa Realizado]]))</f>
        <v>2019</v>
      </c>
      <c r="K155" s="14">
        <f>IF(TbRegistroEntradas[[#This Row],[Data da Competência]]="",0,MONTH(TbRegistroEntradas[[#This Row],[Data da Competência]]))</f>
        <v>10</v>
      </c>
      <c r="L155" s="14">
        <f>IF(TbRegistroEntradas[[#This Row],[Data da Competência]]="",0,YEAR(TbRegistroEntradas[[#This Row],[Data da Competência]]))</f>
        <v>2018</v>
      </c>
      <c r="M155" s="14">
        <f>IF(TbRegistroEntradas[[#This Row],[Data do Caixa Previsto]]="",0,MONTH(TbRegistroEntradas[[#This Row],[Data do Caixa Previsto]]))</f>
        <v>12</v>
      </c>
      <c r="N155" s="14">
        <f>IF(TbRegistroEntradas[[#This Row],[Data do Caixa Previsto]]="",0,YEAR(TbRegistroEntradas[[#This Row],[Data do Caixa Previsto]]))</f>
        <v>2018</v>
      </c>
      <c r="O155" s="14" t="str">
        <f>IF(TbRegistroEntradas[[#This Row],[Data da Competência]]=TbRegistroEntradas[[#This Row],[Data do Caixa Previsto]],"Vista","Prazo")</f>
        <v>Prazo</v>
      </c>
      <c r="P15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57.292110309441341</v>
      </c>
      <c r="Q155" s="14" t="str">
        <f ca="1">IF(AND(TbRegistroEntradas[[#This Row],[Data do Caixa Previsto]]&lt;TODAY(),TbRegistroEntradas[[#This Row],[Data do Caixa Realizado]]=""),"Vencida","Não vencida")</f>
        <v>Não vencida</v>
      </c>
    </row>
    <row r="156" spans="2:17" x14ac:dyDescent="0.25">
      <c r="B156" s="13">
        <v>43419.609240604143</v>
      </c>
      <c r="C156" s="13">
        <v>43398</v>
      </c>
      <c r="D156" s="13">
        <v>43419.609240604143</v>
      </c>
      <c r="E156" s="14" t="s">
        <v>0</v>
      </c>
      <c r="F156" s="14" t="s">
        <v>24</v>
      </c>
      <c r="G156" s="14" t="s">
        <v>232</v>
      </c>
      <c r="H156" s="15">
        <v>2429</v>
      </c>
      <c r="I156" s="14">
        <f>IF(TbRegistroEntradas[[#This Row],[Data do Caixa Realizado]]="",0,MONTH(TbRegistroEntradas[[#This Row],[Data do Caixa Realizado]]))</f>
        <v>11</v>
      </c>
      <c r="J156" s="14">
        <f>IF(TbRegistroEntradas[[#This Row],[Data do Caixa Realizado]]="",0,YEAR(TbRegistroEntradas[[#This Row],[Data do Caixa Realizado]]))</f>
        <v>2018</v>
      </c>
      <c r="K156" s="14">
        <f>IF(TbRegistroEntradas[[#This Row],[Data da Competência]]="",0,MONTH(TbRegistroEntradas[[#This Row],[Data da Competência]]))</f>
        <v>10</v>
      </c>
      <c r="L156" s="14">
        <f>IF(TbRegistroEntradas[[#This Row],[Data da Competência]]="",0,YEAR(TbRegistroEntradas[[#This Row],[Data da Competência]]))</f>
        <v>2018</v>
      </c>
      <c r="M156" s="14">
        <f>IF(TbRegistroEntradas[[#This Row],[Data do Caixa Previsto]]="",0,MONTH(TbRegistroEntradas[[#This Row],[Data do Caixa Previsto]]))</f>
        <v>11</v>
      </c>
      <c r="N156" s="14">
        <f>IF(TbRegistroEntradas[[#This Row],[Data do Caixa Previsto]]="",0,YEAR(TbRegistroEntradas[[#This Row],[Data do Caixa Previsto]]))</f>
        <v>2018</v>
      </c>
      <c r="O156" s="14" t="str">
        <f>IF(TbRegistroEntradas[[#This Row],[Data da Competência]]=TbRegistroEntradas[[#This Row],[Data do Caixa Previsto]],"Vista","Prazo")</f>
        <v>Prazo</v>
      </c>
      <c r="P15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56" s="14" t="str">
        <f ca="1">IF(AND(TbRegistroEntradas[[#This Row],[Data do Caixa Previsto]]&lt;TODAY(),TbRegistroEntradas[[#This Row],[Data do Caixa Realizado]]=""),"Vencida","Não vencida")</f>
        <v>Não vencida</v>
      </c>
    </row>
    <row r="157" spans="2:17" x14ac:dyDescent="0.25">
      <c r="B157" s="13">
        <v>43457.427069040656</v>
      </c>
      <c r="C157" s="13">
        <v>43398</v>
      </c>
      <c r="D157" s="13">
        <v>43398</v>
      </c>
      <c r="E157" s="14" t="s">
        <v>0</v>
      </c>
      <c r="F157" s="14" t="s">
        <v>3</v>
      </c>
      <c r="G157" s="14" t="s">
        <v>233</v>
      </c>
      <c r="H157" s="15">
        <v>2713</v>
      </c>
      <c r="I157" s="14">
        <f>IF(TbRegistroEntradas[[#This Row],[Data do Caixa Realizado]]="",0,MONTH(TbRegistroEntradas[[#This Row],[Data do Caixa Realizado]]))</f>
        <v>12</v>
      </c>
      <c r="J157" s="14">
        <f>IF(TbRegistroEntradas[[#This Row],[Data do Caixa Realizado]]="",0,YEAR(TbRegistroEntradas[[#This Row],[Data do Caixa Realizado]]))</f>
        <v>2018</v>
      </c>
      <c r="K157" s="14">
        <f>IF(TbRegistroEntradas[[#This Row],[Data da Competência]]="",0,MONTH(TbRegistroEntradas[[#This Row],[Data da Competência]]))</f>
        <v>10</v>
      </c>
      <c r="L157" s="14">
        <f>IF(TbRegistroEntradas[[#This Row],[Data da Competência]]="",0,YEAR(TbRegistroEntradas[[#This Row],[Data da Competência]]))</f>
        <v>2018</v>
      </c>
      <c r="M157" s="14">
        <f>IF(TbRegistroEntradas[[#This Row],[Data do Caixa Previsto]]="",0,MONTH(TbRegistroEntradas[[#This Row],[Data do Caixa Previsto]]))</f>
        <v>10</v>
      </c>
      <c r="N157" s="14">
        <f>IF(TbRegistroEntradas[[#This Row],[Data do Caixa Previsto]]="",0,YEAR(TbRegistroEntradas[[#This Row],[Data do Caixa Previsto]]))</f>
        <v>2018</v>
      </c>
      <c r="O157" s="14" t="str">
        <f>IF(TbRegistroEntradas[[#This Row],[Data da Competência]]=TbRegistroEntradas[[#This Row],[Data do Caixa Previsto]],"Vista","Prazo")</f>
        <v>Vista</v>
      </c>
      <c r="P15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59.427069040655624</v>
      </c>
      <c r="Q157" s="14" t="str">
        <f ca="1">IF(AND(TbRegistroEntradas[[#This Row],[Data do Caixa Previsto]]&lt;TODAY(),TbRegistroEntradas[[#This Row],[Data do Caixa Realizado]]=""),"Vencida","Não vencida")</f>
        <v>Não vencida</v>
      </c>
    </row>
    <row r="158" spans="2:17" x14ac:dyDescent="0.25">
      <c r="B158" s="13">
        <v>43416.791420716982</v>
      </c>
      <c r="C158" s="13">
        <v>43403</v>
      </c>
      <c r="D158" s="13">
        <v>43403</v>
      </c>
      <c r="E158" s="14" t="s">
        <v>0</v>
      </c>
      <c r="F158" s="14" t="s">
        <v>24</v>
      </c>
      <c r="G158" s="14" t="s">
        <v>234</v>
      </c>
      <c r="H158" s="15">
        <v>3787</v>
      </c>
      <c r="I158" s="14">
        <f>IF(TbRegistroEntradas[[#This Row],[Data do Caixa Realizado]]="",0,MONTH(TbRegistroEntradas[[#This Row],[Data do Caixa Realizado]]))</f>
        <v>11</v>
      </c>
      <c r="J158" s="14">
        <f>IF(TbRegistroEntradas[[#This Row],[Data do Caixa Realizado]]="",0,YEAR(TbRegistroEntradas[[#This Row],[Data do Caixa Realizado]]))</f>
        <v>2018</v>
      </c>
      <c r="K158" s="14">
        <f>IF(TbRegistroEntradas[[#This Row],[Data da Competência]]="",0,MONTH(TbRegistroEntradas[[#This Row],[Data da Competência]]))</f>
        <v>10</v>
      </c>
      <c r="L158" s="14">
        <f>IF(TbRegistroEntradas[[#This Row],[Data da Competência]]="",0,YEAR(TbRegistroEntradas[[#This Row],[Data da Competência]]))</f>
        <v>2018</v>
      </c>
      <c r="M158" s="14">
        <f>IF(TbRegistroEntradas[[#This Row],[Data do Caixa Previsto]]="",0,MONTH(TbRegistroEntradas[[#This Row],[Data do Caixa Previsto]]))</f>
        <v>10</v>
      </c>
      <c r="N158" s="14">
        <f>IF(TbRegistroEntradas[[#This Row],[Data do Caixa Previsto]]="",0,YEAR(TbRegistroEntradas[[#This Row],[Data do Caixa Previsto]]))</f>
        <v>2018</v>
      </c>
      <c r="O158" s="14" t="str">
        <f>IF(TbRegistroEntradas[[#This Row],[Data da Competência]]=TbRegistroEntradas[[#This Row],[Data do Caixa Previsto]],"Vista","Prazo")</f>
        <v>Vista</v>
      </c>
      <c r="P15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13.79142071698152</v>
      </c>
      <c r="Q158" s="14" t="str">
        <f ca="1">IF(AND(TbRegistroEntradas[[#This Row],[Data do Caixa Previsto]]&lt;TODAY(),TbRegistroEntradas[[#This Row],[Data do Caixa Realizado]]=""),"Vencida","Não vencida")</f>
        <v>Não vencida</v>
      </c>
    </row>
    <row r="159" spans="2:17" x14ac:dyDescent="0.25">
      <c r="B159" s="13">
        <v>43503.017030074843</v>
      </c>
      <c r="C159" s="13">
        <v>43408</v>
      </c>
      <c r="D159" s="13">
        <v>43442.90009272196</v>
      </c>
      <c r="E159" s="14" t="s">
        <v>0</v>
      </c>
      <c r="F159" s="14" t="s">
        <v>5</v>
      </c>
      <c r="G159" s="14" t="s">
        <v>235</v>
      </c>
      <c r="H159" s="15">
        <v>1820</v>
      </c>
      <c r="I159" s="14">
        <f>IF(TbRegistroEntradas[[#This Row],[Data do Caixa Realizado]]="",0,MONTH(TbRegistroEntradas[[#This Row],[Data do Caixa Realizado]]))</f>
        <v>2</v>
      </c>
      <c r="J159" s="14">
        <f>IF(TbRegistroEntradas[[#This Row],[Data do Caixa Realizado]]="",0,YEAR(TbRegistroEntradas[[#This Row],[Data do Caixa Realizado]]))</f>
        <v>2019</v>
      </c>
      <c r="K159" s="14">
        <f>IF(TbRegistroEntradas[[#This Row],[Data da Competência]]="",0,MONTH(TbRegistroEntradas[[#This Row],[Data da Competência]]))</f>
        <v>11</v>
      </c>
      <c r="L159" s="14">
        <f>IF(TbRegistroEntradas[[#This Row],[Data da Competência]]="",0,YEAR(TbRegistroEntradas[[#This Row],[Data da Competência]]))</f>
        <v>2018</v>
      </c>
      <c r="M159" s="14">
        <f>IF(TbRegistroEntradas[[#This Row],[Data do Caixa Previsto]]="",0,MONTH(TbRegistroEntradas[[#This Row],[Data do Caixa Previsto]]))</f>
        <v>12</v>
      </c>
      <c r="N159" s="14">
        <f>IF(TbRegistroEntradas[[#This Row],[Data do Caixa Previsto]]="",0,YEAR(TbRegistroEntradas[[#This Row],[Data do Caixa Previsto]]))</f>
        <v>2018</v>
      </c>
      <c r="O159" s="14" t="str">
        <f>IF(TbRegistroEntradas[[#This Row],[Data da Competência]]=TbRegistroEntradas[[#This Row],[Data do Caixa Previsto]],"Vista","Prazo")</f>
        <v>Prazo</v>
      </c>
      <c r="P15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60.116937352882815</v>
      </c>
      <c r="Q159" s="14" t="str">
        <f ca="1">IF(AND(TbRegistroEntradas[[#This Row],[Data do Caixa Previsto]]&lt;TODAY(),TbRegistroEntradas[[#This Row],[Data do Caixa Realizado]]=""),"Vencida","Não vencida")</f>
        <v>Não vencida</v>
      </c>
    </row>
    <row r="160" spans="2:17" x14ac:dyDescent="0.25">
      <c r="B160" s="13">
        <v>43431.589825007759</v>
      </c>
      <c r="C160" s="13">
        <v>43412</v>
      </c>
      <c r="D160" s="13">
        <v>43431.589825007759</v>
      </c>
      <c r="E160" s="14" t="s">
        <v>0</v>
      </c>
      <c r="F160" s="14" t="s">
        <v>24</v>
      </c>
      <c r="G160" s="14" t="s">
        <v>236</v>
      </c>
      <c r="H160" s="15">
        <v>4135</v>
      </c>
      <c r="I160" s="14">
        <f>IF(TbRegistroEntradas[[#This Row],[Data do Caixa Realizado]]="",0,MONTH(TbRegistroEntradas[[#This Row],[Data do Caixa Realizado]]))</f>
        <v>11</v>
      </c>
      <c r="J160" s="14">
        <f>IF(TbRegistroEntradas[[#This Row],[Data do Caixa Realizado]]="",0,YEAR(TbRegistroEntradas[[#This Row],[Data do Caixa Realizado]]))</f>
        <v>2018</v>
      </c>
      <c r="K160" s="14">
        <f>IF(TbRegistroEntradas[[#This Row],[Data da Competência]]="",0,MONTH(TbRegistroEntradas[[#This Row],[Data da Competência]]))</f>
        <v>11</v>
      </c>
      <c r="L160" s="14">
        <f>IF(TbRegistroEntradas[[#This Row],[Data da Competência]]="",0,YEAR(TbRegistroEntradas[[#This Row],[Data da Competência]]))</f>
        <v>2018</v>
      </c>
      <c r="M160" s="14">
        <f>IF(TbRegistroEntradas[[#This Row],[Data do Caixa Previsto]]="",0,MONTH(TbRegistroEntradas[[#This Row],[Data do Caixa Previsto]]))</f>
        <v>11</v>
      </c>
      <c r="N160" s="14">
        <f>IF(TbRegistroEntradas[[#This Row],[Data do Caixa Previsto]]="",0,YEAR(TbRegistroEntradas[[#This Row],[Data do Caixa Previsto]]))</f>
        <v>2018</v>
      </c>
      <c r="O160" s="14" t="str">
        <f>IF(TbRegistroEntradas[[#This Row],[Data da Competência]]=TbRegistroEntradas[[#This Row],[Data do Caixa Previsto]],"Vista","Prazo")</f>
        <v>Prazo</v>
      </c>
      <c r="P16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60" s="14" t="str">
        <f ca="1">IF(AND(TbRegistroEntradas[[#This Row],[Data do Caixa Previsto]]&lt;TODAY(),TbRegistroEntradas[[#This Row],[Data do Caixa Realizado]]=""),"Vencida","Não vencida")</f>
        <v>Não vencida</v>
      </c>
    </row>
    <row r="161" spans="2:17" x14ac:dyDescent="0.25">
      <c r="B161" s="13">
        <v>43467.343545956064</v>
      </c>
      <c r="C161" s="13">
        <v>43415</v>
      </c>
      <c r="D161" s="13">
        <v>43421.091967250024</v>
      </c>
      <c r="E161" s="14" t="s">
        <v>0</v>
      </c>
      <c r="F161" s="14" t="s">
        <v>24</v>
      </c>
      <c r="G161" s="14" t="s">
        <v>237</v>
      </c>
      <c r="H161" s="15">
        <v>3902</v>
      </c>
      <c r="I161" s="14">
        <f>IF(TbRegistroEntradas[[#This Row],[Data do Caixa Realizado]]="",0,MONTH(TbRegistroEntradas[[#This Row],[Data do Caixa Realizado]]))</f>
        <v>1</v>
      </c>
      <c r="J161" s="14">
        <f>IF(TbRegistroEntradas[[#This Row],[Data do Caixa Realizado]]="",0,YEAR(TbRegistroEntradas[[#This Row],[Data do Caixa Realizado]]))</f>
        <v>2019</v>
      </c>
      <c r="K161" s="14">
        <f>IF(TbRegistroEntradas[[#This Row],[Data da Competência]]="",0,MONTH(TbRegistroEntradas[[#This Row],[Data da Competência]]))</f>
        <v>11</v>
      </c>
      <c r="L161" s="14">
        <f>IF(TbRegistroEntradas[[#This Row],[Data da Competência]]="",0,YEAR(TbRegistroEntradas[[#This Row],[Data da Competência]]))</f>
        <v>2018</v>
      </c>
      <c r="M161" s="14">
        <f>IF(TbRegistroEntradas[[#This Row],[Data do Caixa Previsto]]="",0,MONTH(TbRegistroEntradas[[#This Row],[Data do Caixa Previsto]]))</f>
        <v>11</v>
      </c>
      <c r="N161" s="14">
        <f>IF(TbRegistroEntradas[[#This Row],[Data do Caixa Previsto]]="",0,YEAR(TbRegistroEntradas[[#This Row],[Data do Caixa Previsto]]))</f>
        <v>2018</v>
      </c>
      <c r="O161" s="14" t="str">
        <f>IF(TbRegistroEntradas[[#This Row],[Data da Competência]]=TbRegistroEntradas[[#This Row],[Data do Caixa Previsto]],"Vista","Prazo")</f>
        <v>Prazo</v>
      </c>
      <c r="P16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46.251578706040164</v>
      </c>
      <c r="Q161" s="14" t="str">
        <f ca="1">IF(AND(TbRegistroEntradas[[#This Row],[Data do Caixa Previsto]]&lt;TODAY(),TbRegistroEntradas[[#This Row],[Data do Caixa Realizado]]=""),"Vencida","Não vencida")</f>
        <v>Não vencida</v>
      </c>
    </row>
    <row r="162" spans="2:17" x14ac:dyDescent="0.25">
      <c r="B162" s="13">
        <v>43523.081285354827</v>
      </c>
      <c r="C162" s="13">
        <v>43418</v>
      </c>
      <c r="D162" s="13">
        <v>43418</v>
      </c>
      <c r="E162" s="14" t="s">
        <v>0</v>
      </c>
      <c r="F162" s="14" t="s">
        <v>24</v>
      </c>
      <c r="G162" s="14" t="s">
        <v>238</v>
      </c>
      <c r="H162" s="15">
        <v>4319</v>
      </c>
      <c r="I162" s="14">
        <f>IF(TbRegistroEntradas[[#This Row],[Data do Caixa Realizado]]="",0,MONTH(TbRegistroEntradas[[#This Row],[Data do Caixa Realizado]]))</f>
        <v>2</v>
      </c>
      <c r="J162" s="14">
        <f>IF(TbRegistroEntradas[[#This Row],[Data do Caixa Realizado]]="",0,YEAR(TbRegistroEntradas[[#This Row],[Data do Caixa Realizado]]))</f>
        <v>2019</v>
      </c>
      <c r="K162" s="14">
        <f>IF(TbRegistroEntradas[[#This Row],[Data da Competência]]="",0,MONTH(TbRegistroEntradas[[#This Row],[Data da Competência]]))</f>
        <v>11</v>
      </c>
      <c r="L162" s="14">
        <f>IF(TbRegistroEntradas[[#This Row],[Data da Competência]]="",0,YEAR(TbRegistroEntradas[[#This Row],[Data da Competência]]))</f>
        <v>2018</v>
      </c>
      <c r="M162" s="14">
        <f>IF(TbRegistroEntradas[[#This Row],[Data do Caixa Previsto]]="",0,MONTH(TbRegistroEntradas[[#This Row],[Data do Caixa Previsto]]))</f>
        <v>11</v>
      </c>
      <c r="N162" s="14">
        <f>IF(TbRegistroEntradas[[#This Row],[Data do Caixa Previsto]]="",0,YEAR(TbRegistroEntradas[[#This Row],[Data do Caixa Previsto]]))</f>
        <v>2018</v>
      </c>
      <c r="O162" s="14" t="str">
        <f>IF(TbRegistroEntradas[[#This Row],[Data da Competência]]=TbRegistroEntradas[[#This Row],[Data do Caixa Previsto]],"Vista","Prazo")</f>
        <v>Vista</v>
      </c>
      <c r="P16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105.08128535482683</v>
      </c>
      <c r="Q162" s="14" t="str">
        <f ca="1">IF(AND(TbRegistroEntradas[[#This Row],[Data do Caixa Previsto]]&lt;TODAY(),TbRegistroEntradas[[#This Row],[Data do Caixa Realizado]]=""),"Vencida","Não vencida")</f>
        <v>Não vencida</v>
      </c>
    </row>
    <row r="163" spans="2:17" x14ac:dyDescent="0.25">
      <c r="B163" s="13">
        <v>43464.748499618698</v>
      </c>
      <c r="C163" s="13">
        <v>43421</v>
      </c>
      <c r="D163" s="13">
        <v>43464.748499618698</v>
      </c>
      <c r="E163" s="14" t="s">
        <v>0</v>
      </c>
      <c r="F163" s="14" t="s">
        <v>3</v>
      </c>
      <c r="G163" s="14" t="s">
        <v>239</v>
      </c>
      <c r="H163" s="15">
        <v>3068</v>
      </c>
      <c r="I163" s="14">
        <f>IF(TbRegistroEntradas[[#This Row],[Data do Caixa Realizado]]="",0,MONTH(TbRegistroEntradas[[#This Row],[Data do Caixa Realizado]]))</f>
        <v>12</v>
      </c>
      <c r="J163" s="14">
        <f>IF(TbRegistroEntradas[[#This Row],[Data do Caixa Realizado]]="",0,YEAR(TbRegistroEntradas[[#This Row],[Data do Caixa Realizado]]))</f>
        <v>2018</v>
      </c>
      <c r="K163" s="14">
        <f>IF(TbRegistroEntradas[[#This Row],[Data da Competência]]="",0,MONTH(TbRegistroEntradas[[#This Row],[Data da Competência]]))</f>
        <v>11</v>
      </c>
      <c r="L163" s="14">
        <f>IF(TbRegistroEntradas[[#This Row],[Data da Competência]]="",0,YEAR(TbRegistroEntradas[[#This Row],[Data da Competência]]))</f>
        <v>2018</v>
      </c>
      <c r="M163" s="14">
        <f>IF(TbRegistroEntradas[[#This Row],[Data do Caixa Previsto]]="",0,MONTH(TbRegistroEntradas[[#This Row],[Data do Caixa Previsto]]))</f>
        <v>12</v>
      </c>
      <c r="N163" s="14">
        <f>IF(TbRegistroEntradas[[#This Row],[Data do Caixa Previsto]]="",0,YEAR(TbRegistroEntradas[[#This Row],[Data do Caixa Previsto]]))</f>
        <v>2018</v>
      </c>
      <c r="O163" s="14" t="str">
        <f>IF(TbRegistroEntradas[[#This Row],[Data da Competência]]=TbRegistroEntradas[[#This Row],[Data do Caixa Previsto]],"Vista","Prazo")</f>
        <v>Prazo</v>
      </c>
      <c r="P16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63" s="14" t="str">
        <f ca="1">IF(AND(TbRegistroEntradas[[#This Row],[Data do Caixa Previsto]]&lt;TODAY(),TbRegistroEntradas[[#This Row],[Data do Caixa Realizado]]=""),"Vencida","Não vencida")</f>
        <v>Não vencida</v>
      </c>
    </row>
    <row r="164" spans="2:17" x14ac:dyDescent="0.25">
      <c r="B164" s="13">
        <v>43455.375597423525</v>
      </c>
      <c r="C164" s="13">
        <v>43425</v>
      </c>
      <c r="D164" s="13">
        <v>43425</v>
      </c>
      <c r="E164" s="14" t="s">
        <v>0</v>
      </c>
      <c r="F164" s="14" t="s">
        <v>24</v>
      </c>
      <c r="G164" s="14" t="s">
        <v>240</v>
      </c>
      <c r="H164" s="15">
        <v>1880</v>
      </c>
      <c r="I164" s="14">
        <f>IF(TbRegistroEntradas[[#This Row],[Data do Caixa Realizado]]="",0,MONTH(TbRegistroEntradas[[#This Row],[Data do Caixa Realizado]]))</f>
        <v>12</v>
      </c>
      <c r="J164" s="14">
        <f>IF(TbRegistroEntradas[[#This Row],[Data do Caixa Realizado]]="",0,YEAR(TbRegistroEntradas[[#This Row],[Data do Caixa Realizado]]))</f>
        <v>2018</v>
      </c>
      <c r="K164" s="14">
        <f>IF(TbRegistroEntradas[[#This Row],[Data da Competência]]="",0,MONTH(TbRegistroEntradas[[#This Row],[Data da Competência]]))</f>
        <v>11</v>
      </c>
      <c r="L164" s="14">
        <f>IF(TbRegistroEntradas[[#This Row],[Data da Competência]]="",0,YEAR(TbRegistroEntradas[[#This Row],[Data da Competência]]))</f>
        <v>2018</v>
      </c>
      <c r="M164" s="14">
        <f>IF(TbRegistroEntradas[[#This Row],[Data do Caixa Previsto]]="",0,MONTH(TbRegistroEntradas[[#This Row],[Data do Caixa Previsto]]))</f>
        <v>11</v>
      </c>
      <c r="N164" s="14">
        <f>IF(TbRegistroEntradas[[#This Row],[Data do Caixa Previsto]]="",0,YEAR(TbRegistroEntradas[[#This Row],[Data do Caixa Previsto]]))</f>
        <v>2018</v>
      </c>
      <c r="O164" s="14" t="str">
        <f>IF(TbRegistroEntradas[[#This Row],[Data da Competência]]=TbRegistroEntradas[[#This Row],[Data do Caixa Previsto]],"Vista","Prazo")</f>
        <v>Vista</v>
      </c>
      <c r="P16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30.375597423524596</v>
      </c>
      <c r="Q164" s="14" t="str">
        <f ca="1">IF(AND(TbRegistroEntradas[[#This Row],[Data do Caixa Previsto]]&lt;TODAY(),TbRegistroEntradas[[#This Row],[Data do Caixa Realizado]]=""),"Vencida","Não vencida")</f>
        <v>Não vencida</v>
      </c>
    </row>
    <row r="165" spans="2:17" x14ac:dyDescent="0.25">
      <c r="B165" s="13" t="s">
        <v>92</v>
      </c>
      <c r="C165" s="13">
        <v>43427</v>
      </c>
      <c r="D165" s="13">
        <v>43465.063381850647</v>
      </c>
      <c r="E165" s="14" t="s">
        <v>0</v>
      </c>
      <c r="F165" s="14" t="s">
        <v>24</v>
      </c>
      <c r="G165" s="14" t="s">
        <v>241</v>
      </c>
      <c r="H165" s="15">
        <v>1414</v>
      </c>
      <c r="I165" s="14">
        <f>IF(TbRegistroEntradas[[#This Row],[Data do Caixa Realizado]]="",0,MONTH(TbRegistroEntradas[[#This Row],[Data do Caixa Realizado]]))</f>
        <v>0</v>
      </c>
      <c r="J165" s="14">
        <f>IF(TbRegistroEntradas[[#This Row],[Data do Caixa Realizado]]="",0,YEAR(TbRegistroEntradas[[#This Row],[Data do Caixa Realizado]]))</f>
        <v>0</v>
      </c>
      <c r="K165" s="14">
        <f>IF(TbRegistroEntradas[[#This Row],[Data da Competência]]="",0,MONTH(TbRegistroEntradas[[#This Row],[Data da Competência]]))</f>
        <v>11</v>
      </c>
      <c r="L165" s="14">
        <f>IF(TbRegistroEntradas[[#This Row],[Data da Competência]]="",0,YEAR(TbRegistroEntradas[[#This Row],[Data da Competência]]))</f>
        <v>2018</v>
      </c>
      <c r="M165" s="14">
        <f>IF(TbRegistroEntradas[[#This Row],[Data do Caixa Previsto]]="",0,MONTH(TbRegistroEntradas[[#This Row],[Data do Caixa Previsto]]))</f>
        <v>12</v>
      </c>
      <c r="N165" s="14">
        <f>IF(TbRegistroEntradas[[#This Row],[Data do Caixa Previsto]]="",0,YEAR(TbRegistroEntradas[[#This Row],[Data do Caixa Previsto]]))</f>
        <v>2018</v>
      </c>
      <c r="O165" s="14" t="str">
        <f>IF(TbRegistroEntradas[[#This Row],[Data da Competência]]=TbRegistroEntradas[[#This Row],[Data do Caixa Previsto]],"Vista","Prazo")</f>
        <v>Prazo</v>
      </c>
      <c r="P16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1928.9366181493533</v>
      </c>
      <c r="Q165" s="14" t="str">
        <f ca="1">IF(AND(TbRegistroEntradas[[#This Row],[Data do Caixa Previsto]]&lt;TODAY(),TbRegistroEntradas[[#This Row],[Data do Caixa Realizado]]=""),"Vencida","Não vencida")</f>
        <v>Vencida</v>
      </c>
    </row>
    <row r="166" spans="2:17" x14ac:dyDescent="0.25">
      <c r="B166" s="13" t="s">
        <v>92</v>
      </c>
      <c r="C166" s="13">
        <v>43430</v>
      </c>
      <c r="D166" s="13">
        <v>43447.889924144794</v>
      </c>
      <c r="E166" s="14" t="s">
        <v>0</v>
      </c>
      <c r="F166" s="14" t="s">
        <v>17</v>
      </c>
      <c r="G166" s="14" t="s">
        <v>242</v>
      </c>
      <c r="H166" s="15">
        <v>919</v>
      </c>
      <c r="I166" s="14">
        <f>IF(TbRegistroEntradas[[#This Row],[Data do Caixa Realizado]]="",0,MONTH(TbRegistroEntradas[[#This Row],[Data do Caixa Realizado]]))</f>
        <v>0</v>
      </c>
      <c r="J166" s="14">
        <f>IF(TbRegistroEntradas[[#This Row],[Data do Caixa Realizado]]="",0,YEAR(TbRegistroEntradas[[#This Row],[Data do Caixa Realizado]]))</f>
        <v>0</v>
      </c>
      <c r="K166" s="14">
        <f>IF(TbRegistroEntradas[[#This Row],[Data da Competência]]="",0,MONTH(TbRegistroEntradas[[#This Row],[Data da Competência]]))</f>
        <v>11</v>
      </c>
      <c r="L166" s="14">
        <f>IF(TbRegistroEntradas[[#This Row],[Data da Competência]]="",0,YEAR(TbRegistroEntradas[[#This Row],[Data da Competência]]))</f>
        <v>2018</v>
      </c>
      <c r="M166" s="14">
        <f>IF(TbRegistroEntradas[[#This Row],[Data do Caixa Previsto]]="",0,MONTH(TbRegistroEntradas[[#This Row],[Data do Caixa Previsto]]))</f>
        <v>12</v>
      </c>
      <c r="N166" s="14">
        <f>IF(TbRegistroEntradas[[#This Row],[Data do Caixa Previsto]]="",0,YEAR(TbRegistroEntradas[[#This Row],[Data do Caixa Previsto]]))</f>
        <v>2018</v>
      </c>
      <c r="O166" s="14" t="str">
        <f>IF(TbRegistroEntradas[[#This Row],[Data da Competência]]=TbRegistroEntradas[[#This Row],[Data do Caixa Previsto]],"Vista","Prazo")</f>
        <v>Prazo</v>
      </c>
      <c r="P16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1946.1100758552057</v>
      </c>
      <c r="Q166" s="14" t="str">
        <f ca="1">IF(AND(TbRegistroEntradas[[#This Row],[Data do Caixa Previsto]]&lt;TODAY(),TbRegistroEntradas[[#This Row],[Data do Caixa Realizado]]=""),"Vencida","Não vencida")</f>
        <v>Vencida</v>
      </c>
    </row>
    <row r="167" spans="2:17" x14ac:dyDescent="0.25">
      <c r="B167" s="13">
        <v>43477.965813489587</v>
      </c>
      <c r="C167" s="13">
        <v>43431</v>
      </c>
      <c r="D167" s="13">
        <v>43431</v>
      </c>
      <c r="E167" s="14" t="s">
        <v>0</v>
      </c>
      <c r="F167" s="14" t="s">
        <v>24</v>
      </c>
      <c r="G167" s="14" t="s">
        <v>243</v>
      </c>
      <c r="H167" s="15">
        <v>4801</v>
      </c>
      <c r="I167" s="14">
        <f>IF(TbRegistroEntradas[[#This Row],[Data do Caixa Realizado]]="",0,MONTH(TbRegistroEntradas[[#This Row],[Data do Caixa Realizado]]))</f>
        <v>1</v>
      </c>
      <c r="J167" s="14">
        <f>IF(TbRegistroEntradas[[#This Row],[Data do Caixa Realizado]]="",0,YEAR(TbRegistroEntradas[[#This Row],[Data do Caixa Realizado]]))</f>
        <v>2019</v>
      </c>
      <c r="K167" s="14">
        <f>IF(TbRegistroEntradas[[#This Row],[Data da Competência]]="",0,MONTH(TbRegistroEntradas[[#This Row],[Data da Competência]]))</f>
        <v>11</v>
      </c>
      <c r="L167" s="14">
        <f>IF(TbRegistroEntradas[[#This Row],[Data da Competência]]="",0,YEAR(TbRegistroEntradas[[#This Row],[Data da Competência]]))</f>
        <v>2018</v>
      </c>
      <c r="M167" s="14">
        <f>IF(TbRegistroEntradas[[#This Row],[Data do Caixa Previsto]]="",0,MONTH(TbRegistroEntradas[[#This Row],[Data do Caixa Previsto]]))</f>
        <v>11</v>
      </c>
      <c r="N167" s="14">
        <f>IF(TbRegistroEntradas[[#This Row],[Data do Caixa Previsto]]="",0,YEAR(TbRegistroEntradas[[#This Row],[Data do Caixa Previsto]]))</f>
        <v>2018</v>
      </c>
      <c r="O167" s="14" t="str">
        <f>IF(TbRegistroEntradas[[#This Row],[Data da Competência]]=TbRegistroEntradas[[#This Row],[Data do Caixa Previsto]],"Vista","Prazo")</f>
        <v>Vista</v>
      </c>
      <c r="P16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46.965813489587163</v>
      </c>
      <c r="Q167" s="14" t="str">
        <f ca="1">IF(AND(TbRegistroEntradas[[#This Row],[Data do Caixa Previsto]]&lt;TODAY(),TbRegistroEntradas[[#This Row],[Data do Caixa Realizado]]=""),"Vencida","Não vencida")</f>
        <v>Não vencida</v>
      </c>
    </row>
    <row r="168" spans="2:17" x14ac:dyDescent="0.25">
      <c r="B168" s="13" t="s">
        <v>92</v>
      </c>
      <c r="C168" s="13">
        <v>43434</v>
      </c>
      <c r="D168" s="13">
        <v>43434</v>
      </c>
      <c r="E168" s="14" t="s">
        <v>0</v>
      </c>
      <c r="F168" s="14" t="s">
        <v>49</v>
      </c>
      <c r="G168" s="14" t="s">
        <v>244</v>
      </c>
      <c r="H168" s="15">
        <v>4639</v>
      </c>
      <c r="I168" s="14">
        <f>IF(TbRegistroEntradas[[#This Row],[Data do Caixa Realizado]]="",0,MONTH(TbRegistroEntradas[[#This Row],[Data do Caixa Realizado]]))</f>
        <v>0</v>
      </c>
      <c r="J168" s="14">
        <f>IF(TbRegistroEntradas[[#This Row],[Data do Caixa Realizado]]="",0,YEAR(TbRegistroEntradas[[#This Row],[Data do Caixa Realizado]]))</f>
        <v>0</v>
      </c>
      <c r="K168" s="14">
        <f>IF(TbRegistroEntradas[[#This Row],[Data da Competência]]="",0,MONTH(TbRegistroEntradas[[#This Row],[Data da Competência]]))</f>
        <v>11</v>
      </c>
      <c r="L168" s="14">
        <f>IF(TbRegistroEntradas[[#This Row],[Data da Competência]]="",0,YEAR(TbRegistroEntradas[[#This Row],[Data da Competência]]))</f>
        <v>2018</v>
      </c>
      <c r="M168" s="14">
        <f>IF(TbRegistroEntradas[[#This Row],[Data do Caixa Previsto]]="",0,MONTH(TbRegistroEntradas[[#This Row],[Data do Caixa Previsto]]))</f>
        <v>11</v>
      </c>
      <c r="N168" s="14">
        <f>IF(TbRegistroEntradas[[#This Row],[Data do Caixa Previsto]]="",0,YEAR(TbRegistroEntradas[[#This Row],[Data do Caixa Previsto]]))</f>
        <v>2018</v>
      </c>
      <c r="O168" s="14" t="str">
        <f>IF(TbRegistroEntradas[[#This Row],[Data da Competência]]=TbRegistroEntradas[[#This Row],[Data do Caixa Previsto]],"Vista","Prazo")</f>
        <v>Vista</v>
      </c>
      <c r="P16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1960</v>
      </c>
      <c r="Q168" s="14" t="str">
        <f ca="1">IF(AND(TbRegistroEntradas[[#This Row],[Data do Caixa Previsto]]&lt;TODAY(),TbRegistroEntradas[[#This Row],[Data do Caixa Realizado]]=""),"Vencida","Não vencida")</f>
        <v>Vencida</v>
      </c>
    </row>
    <row r="169" spans="2:17" x14ac:dyDescent="0.25">
      <c r="B169" s="13">
        <v>43544.142248909535</v>
      </c>
      <c r="C169" s="13">
        <v>43440</v>
      </c>
      <c r="D169" s="13">
        <v>43487.390614414791</v>
      </c>
      <c r="E169" s="14" t="s">
        <v>0</v>
      </c>
      <c r="F169" s="14" t="s">
        <v>24</v>
      </c>
      <c r="G169" s="14" t="s">
        <v>245</v>
      </c>
      <c r="H169" s="15">
        <v>1209</v>
      </c>
      <c r="I169" s="14">
        <f>IF(TbRegistroEntradas[[#This Row],[Data do Caixa Realizado]]="",0,MONTH(TbRegistroEntradas[[#This Row],[Data do Caixa Realizado]]))</f>
        <v>3</v>
      </c>
      <c r="J169" s="14">
        <f>IF(TbRegistroEntradas[[#This Row],[Data do Caixa Realizado]]="",0,YEAR(TbRegistroEntradas[[#This Row],[Data do Caixa Realizado]]))</f>
        <v>2019</v>
      </c>
      <c r="K169" s="14">
        <f>IF(TbRegistroEntradas[[#This Row],[Data da Competência]]="",0,MONTH(TbRegistroEntradas[[#This Row],[Data da Competência]]))</f>
        <v>12</v>
      </c>
      <c r="L169" s="14">
        <f>IF(TbRegistroEntradas[[#This Row],[Data da Competência]]="",0,YEAR(TbRegistroEntradas[[#This Row],[Data da Competência]]))</f>
        <v>2018</v>
      </c>
      <c r="M169" s="14">
        <f>IF(TbRegistroEntradas[[#This Row],[Data do Caixa Previsto]]="",0,MONTH(TbRegistroEntradas[[#This Row],[Data do Caixa Previsto]]))</f>
        <v>1</v>
      </c>
      <c r="N169" s="14">
        <f>IF(TbRegistroEntradas[[#This Row],[Data do Caixa Previsto]]="",0,YEAR(TbRegistroEntradas[[#This Row],[Data do Caixa Previsto]]))</f>
        <v>2019</v>
      </c>
      <c r="O169" s="14" t="str">
        <f>IF(TbRegistroEntradas[[#This Row],[Data da Competência]]=TbRegistroEntradas[[#This Row],[Data do Caixa Previsto]],"Vista","Prazo")</f>
        <v>Prazo</v>
      </c>
      <c r="P16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56.751634494743485</v>
      </c>
      <c r="Q169" s="14" t="str">
        <f ca="1">IF(AND(TbRegistroEntradas[[#This Row],[Data do Caixa Previsto]]&lt;TODAY(),TbRegistroEntradas[[#This Row],[Data do Caixa Realizado]]=""),"Vencida","Não vencida")</f>
        <v>Não vencida</v>
      </c>
    </row>
    <row r="170" spans="2:17" x14ac:dyDescent="0.25">
      <c r="B170" s="13" t="s">
        <v>92</v>
      </c>
      <c r="C170" s="13">
        <v>43444</v>
      </c>
      <c r="D170" s="13">
        <v>43477.170204498791</v>
      </c>
      <c r="E170" s="14" t="s">
        <v>0</v>
      </c>
      <c r="F170" s="14" t="s">
        <v>49</v>
      </c>
      <c r="G170" s="14" t="s">
        <v>246</v>
      </c>
      <c r="H170" s="15">
        <v>483</v>
      </c>
      <c r="I170" s="14">
        <f>IF(TbRegistroEntradas[[#This Row],[Data do Caixa Realizado]]="",0,MONTH(TbRegistroEntradas[[#This Row],[Data do Caixa Realizado]]))</f>
        <v>0</v>
      </c>
      <c r="J170" s="14">
        <f>IF(TbRegistroEntradas[[#This Row],[Data do Caixa Realizado]]="",0,YEAR(TbRegistroEntradas[[#This Row],[Data do Caixa Realizado]]))</f>
        <v>0</v>
      </c>
      <c r="K170" s="14">
        <f>IF(TbRegistroEntradas[[#This Row],[Data da Competência]]="",0,MONTH(TbRegistroEntradas[[#This Row],[Data da Competência]]))</f>
        <v>12</v>
      </c>
      <c r="L170" s="14">
        <f>IF(TbRegistroEntradas[[#This Row],[Data da Competência]]="",0,YEAR(TbRegistroEntradas[[#This Row],[Data da Competência]]))</f>
        <v>2018</v>
      </c>
      <c r="M170" s="14">
        <f>IF(TbRegistroEntradas[[#This Row],[Data do Caixa Previsto]]="",0,MONTH(TbRegistroEntradas[[#This Row],[Data do Caixa Previsto]]))</f>
        <v>1</v>
      </c>
      <c r="N170" s="14">
        <f>IF(TbRegistroEntradas[[#This Row],[Data do Caixa Previsto]]="",0,YEAR(TbRegistroEntradas[[#This Row],[Data do Caixa Previsto]]))</f>
        <v>2019</v>
      </c>
      <c r="O170" s="14" t="str">
        <f>IF(TbRegistroEntradas[[#This Row],[Data da Competência]]=TbRegistroEntradas[[#This Row],[Data do Caixa Previsto]],"Vista","Prazo")</f>
        <v>Prazo</v>
      </c>
      <c r="P17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1916.8297955012094</v>
      </c>
      <c r="Q170" s="14" t="str">
        <f ca="1">IF(AND(TbRegistroEntradas[[#This Row],[Data do Caixa Previsto]]&lt;TODAY(),TbRegistroEntradas[[#This Row],[Data do Caixa Realizado]]=""),"Vencida","Não vencida")</f>
        <v>Vencida</v>
      </c>
    </row>
    <row r="171" spans="2:17" x14ac:dyDescent="0.25">
      <c r="B171" s="13">
        <v>43469.404646888193</v>
      </c>
      <c r="C171" s="13">
        <v>43451</v>
      </c>
      <c r="D171" s="13">
        <v>43469.404646888193</v>
      </c>
      <c r="E171" s="14" t="s">
        <v>0</v>
      </c>
      <c r="F171" s="14" t="s">
        <v>24</v>
      </c>
      <c r="G171" s="14" t="s">
        <v>247</v>
      </c>
      <c r="H171" s="15">
        <v>373</v>
      </c>
      <c r="I171" s="14">
        <f>IF(TbRegistroEntradas[[#This Row],[Data do Caixa Realizado]]="",0,MONTH(TbRegistroEntradas[[#This Row],[Data do Caixa Realizado]]))</f>
        <v>1</v>
      </c>
      <c r="J171" s="14">
        <f>IF(TbRegistroEntradas[[#This Row],[Data do Caixa Realizado]]="",0,YEAR(TbRegistroEntradas[[#This Row],[Data do Caixa Realizado]]))</f>
        <v>2019</v>
      </c>
      <c r="K171" s="14">
        <f>IF(TbRegistroEntradas[[#This Row],[Data da Competência]]="",0,MONTH(TbRegistroEntradas[[#This Row],[Data da Competência]]))</f>
        <v>12</v>
      </c>
      <c r="L171" s="14">
        <f>IF(TbRegistroEntradas[[#This Row],[Data da Competência]]="",0,YEAR(TbRegistroEntradas[[#This Row],[Data da Competência]]))</f>
        <v>2018</v>
      </c>
      <c r="M171" s="14">
        <f>IF(TbRegistroEntradas[[#This Row],[Data do Caixa Previsto]]="",0,MONTH(TbRegistroEntradas[[#This Row],[Data do Caixa Previsto]]))</f>
        <v>1</v>
      </c>
      <c r="N171" s="14">
        <f>IF(TbRegistroEntradas[[#This Row],[Data do Caixa Previsto]]="",0,YEAR(TbRegistroEntradas[[#This Row],[Data do Caixa Previsto]]))</f>
        <v>2019</v>
      </c>
      <c r="O171" s="14" t="str">
        <f>IF(TbRegistroEntradas[[#This Row],[Data da Competência]]=TbRegistroEntradas[[#This Row],[Data do Caixa Previsto]],"Vista","Prazo")</f>
        <v>Prazo</v>
      </c>
      <c r="P17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71" s="14" t="str">
        <f ca="1">IF(AND(TbRegistroEntradas[[#This Row],[Data do Caixa Previsto]]&lt;TODAY(),TbRegistroEntradas[[#This Row],[Data do Caixa Realizado]]=""),"Vencida","Não vencida")</f>
        <v>Não vencida</v>
      </c>
    </row>
    <row r="172" spans="2:17" x14ac:dyDescent="0.25">
      <c r="B172" s="13">
        <v>43459.694209767709</v>
      </c>
      <c r="C172" s="13">
        <v>43454</v>
      </c>
      <c r="D172" s="13">
        <v>43459.694209767709</v>
      </c>
      <c r="E172" s="14" t="s">
        <v>0</v>
      </c>
      <c r="F172" s="14" t="s">
        <v>3</v>
      </c>
      <c r="G172" s="14" t="s">
        <v>248</v>
      </c>
      <c r="H172" s="15">
        <v>2088</v>
      </c>
      <c r="I172" s="14">
        <f>IF(TbRegistroEntradas[[#This Row],[Data do Caixa Realizado]]="",0,MONTH(TbRegistroEntradas[[#This Row],[Data do Caixa Realizado]]))</f>
        <v>12</v>
      </c>
      <c r="J172" s="14">
        <f>IF(TbRegistroEntradas[[#This Row],[Data do Caixa Realizado]]="",0,YEAR(TbRegistroEntradas[[#This Row],[Data do Caixa Realizado]]))</f>
        <v>2018</v>
      </c>
      <c r="K172" s="14">
        <f>IF(TbRegistroEntradas[[#This Row],[Data da Competência]]="",0,MONTH(TbRegistroEntradas[[#This Row],[Data da Competência]]))</f>
        <v>12</v>
      </c>
      <c r="L172" s="14">
        <f>IF(TbRegistroEntradas[[#This Row],[Data da Competência]]="",0,YEAR(TbRegistroEntradas[[#This Row],[Data da Competência]]))</f>
        <v>2018</v>
      </c>
      <c r="M172" s="14">
        <f>IF(TbRegistroEntradas[[#This Row],[Data do Caixa Previsto]]="",0,MONTH(TbRegistroEntradas[[#This Row],[Data do Caixa Previsto]]))</f>
        <v>12</v>
      </c>
      <c r="N172" s="14">
        <f>IF(TbRegistroEntradas[[#This Row],[Data do Caixa Previsto]]="",0,YEAR(TbRegistroEntradas[[#This Row],[Data do Caixa Previsto]]))</f>
        <v>2018</v>
      </c>
      <c r="O172" s="14" t="str">
        <f>IF(TbRegistroEntradas[[#This Row],[Data da Competência]]=TbRegistroEntradas[[#This Row],[Data do Caixa Previsto]],"Vista","Prazo")</f>
        <v>Prazo</v>
      </c>
      <c r="P17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72" s="14" t="str">
        <f ca="1">IF(AND(TbRegistroEntradas[[#This Row],[Data do Caixa Previsto]]&lt;TODAY(),TbRegistroEntradas[[#This Row],[Data do Caixa Realizado]]=""),"Vencida","Não vencida")</f>
        <v>Não vencida</v>
      </c>
    </row>
    <row r="173" spans="2:17" x14ac:dyDescent="0.25">
      <c r="B173" s="13">
        <v>43497.817197182514</v>
      </c>
      <c r="C173" s="13">
        <v>43455</v>
      </c>
      <c r="D173" s="13">
        <v>43497.817197182514</v>
      </c>
      <c r="E173" s="14" t="s">
        <v>0</v>
      </c>
      <c r="F173" s="14" t="s">
        <v>49</v>
      </c>
      <c r="G173" s="14" t="s">
        <v>249</v>
      </c>
      <c r="H173" s="15">
        <v>1168</v>
      </c>
      <c r="I173" s="14">
        <f>IF(TbRegistroEntradas[[#This Row],[Data do Caixa Realizado]]="",0,MONTH(TbRegistroEntradas[[#This Row],[Data do Caixa Realizado]]))</f>
        <v>2</v>
      </c>
      <c r="J173" s="14">
        <f>IF(TbRegistroEntradas[[#This Row],[Data do Caixa Realizado]]="",0,YEAR(TbRegistroEntradas[[#This Row],[Data do Caixa Realizado]]))</f>
        <v>2019</v>
      </c>
      <c r="K173" s="14">
        <f>IF(TbRegistroEntradas[[#This Row],[Data da Competência]]="",0,MONTH(TbRegistroEntradas[[#This Row],[Data da Competência]]))</f>
        <v>12</v>
      </c>
      <c r="L173" s="14">
        <f>IF(TbRegistroEntradas[[#This Row],[Data da Competência]]="",0,YEAR(TbRegistroEntradas[[#This Row],[Data da Competência]]))</f>
        <v>2018</v>
      </c>
      <c r="M173" s="14">
        <f>IF(TbRegistroEntradas[[#This Row],[Data do Caixa Previsto]]="",0,MONTH(TbRegistroEntradas[[#This Row],[Data do Caixa Previsto]]))</f>
        <v>2</v>
      </c>
      <c r="N173" s="14">
        <f>IF(TbRegistroEntradas[[#This Row],[Data do Caixa Previsto]]="",0,YEAR(TbRegistroEntradas[[#This Row],[Data do Caixa Previsto]]))</f>
        <v>2019</v>
      </c>
      <c r="O173" s="14" t="str">
        <f>IF(TbRegistroEntradas[[#This Row],[Data da Competência]]=TbRegistroEntradas[[#This Row],[Data do Caixa Previsto]],"Vista","Prazo")</f>
        <v>Prazo</v>
      </c>
      <c r="P17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73" s="14" t="str">
        <f ca="1">IF(AND(TbRegistroEntradas[[#This Row],[Data do Caixa Previsto]]&lt;TODAY(),TbRegistroEntradas[[#This Row],[Data do Caixa Realizado]]=""),"Vencida","Não vencida")</f>
        <v>Não vencida</v>
      </c>
    </row>
    <row r="174" spans="2:17" x14ac:dyDescent="0.25">
      <c r="B174" s="13">
        <v>43550.908167683869</v>
      </c>
      <c r="C174" s="13">
        <v>43457</v>
      </c>
      <c r="D174" s="13">
        <v>43457</v>
      </c>
      <c r="E174" s="14" t="s">
        <v>0</v>
      </c>
      <c r="F174" s="14" t="s">
        <v>49</v>
      </c>
      <c r="G174" s="14" t="s">
        <v>250</v>
      </c>
      <c r="H174" s="15">
        <v>4429</v>
      </c>
      <c r="I174" s="14">
        <f>IF(TbRegistroEntradas[[#This Row],[Data do Caixa Realizado]]="",0,MONTH(TbRegistroEntradas[[#This Row],[Data do Caixa Realizado]]))</f>
        <v>3</v>
      </c>
      <c r="J174" s="14">
        <f>IF(TbRegistroEntradas[[#This Row],[Data do Caixa Realizado]]="",0,YEAR(TbRegistroEntradas[[#This Row],[Data do Caixa Realizado]]))</f>
        <v>2019</v>
      </c>
      <c r="K174" s="14">
        <f>IF(TbRegistroEntradas[[#This Row],[Data da Competência]]="",0,MONTH(TbRegistroEntradas[[#This Row],[Data da Competência]]))</f>
        <v>12</v>
      </c>
      <c r="L174" s="14">
        <f>IF(TbRegistroEntradas[[#This Row],[Data da Competência]]="",0,YEAR(TbRegistroEntradas[[#This Row],[Data da Competência]]))</f>
        <v>2018</v>
      </c>
      <c r="M174" s="14">
        <f>IF(TbRegistroEntradas[[#This Row],[Data do Caixa Previsto]]="",0,MONTH(TbRegistroEntradas[[#This Row],[Data do Caixa Previsto]]))</f>
        <v>12</v>
      </c>
      <c r="N174" s="14">
        <f>IF(TbRegistroEntradas[[#This Row],[Data do Caixa Previsto]]="",0,YEAR(TbRegistroEntradas[[#This Row],[Data do Caixa Previsto]]))</f>
        <v>2018</v>
      </c>
      <c r="O174" s="14" t="str">
        <f>IF(TbRegistroEntradas[[#This Row],[Data da Competência]]=TbRegistroEntradas[[#This Row],[Data do Caixa Previsto]],"Vista","Prazo")</f>
        <v>Vista</v>
      </c>
      <c r="P17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93.908167683868669</v>
      </c>
      <c r="Q174" s="14" t="str">
        <f ca="1">IF(AND(TbRegistroEntradas[[#This Row],[Data do Caixa Previsto]]&lt;TODAY(),TbRegistroEntradas[[#This Row],[Data do Caixa Realizado]]=""),"Vencida","Não vencida")</f>
        <v>Não vencida</v>
      </c>
    </row>
    <row r="175" spans="2:17" x14ac:dyDescent="0.25">
      <c r="B175" s="13">
        <v>43519.692753371986</v>
      </c>
      <c r="C175" s="13">
        <v>43462</v>
      </c>
      <c r="D175" s="13">
        <v>43519.692753371986</v>
      </c>
      <c r="E175" s="14" t="s">
        <v>0</v>
      </c>
      <c r="F175" s="14" t="s">
        <v>24</v>
      </c>
      <c r="G175" s="14" t="s">
        <v>251</v>
      </c>
      <c r="H175" s="15">
        <v>4955</v>
      </c>
      <c r="I175" s="14">
        <f>IF(TbRegistroEntradas[[#This Row],[Data do Caixa Realizado]]="",0,MONTH(TbRegistroEntradas[[#This Row],[Data do Caixa Realizado]]))</f>
        <v>2</v>
      </c>
      <c r="J175" s="14">
        <f>IF(TbRegistroEntradas[[#This Row],[Data do Caixa Realizado]]="",0,YEAR(TbRegistroEntradas[[#This Row],[Data do Caixa Realizado]]))</f>
        <v>2019</v>
      </c>
      <c r="K175" s="14">
        <f>IF(TbRegistroEntradas[[#This Row],[Data da Competência]]="",0,MONTH(TbRegistroEntradas[[#This Row],[Data da Competência]]))</f>
        <v>12</v>
      </c>
      <c r="L175" s="14">
        <f>IF(TbRegistroEntradas[[#This Row],[Data da Competência]]="",0,YEAR(TbRegistroEntradas[[#This Row],[Data da Competência]]))</f>
        <v>2018</v>
      </c>
      <c r="M175" s="14">
        <f>IF(TbRegistroEntradas[[#This Row],[Data do Caixa Previsto]]="",0,MONTH(TbRegistroEntradas[[#This Row],[Data do Caixa Previsto]]))</f>
        <v>2</v>
      </c>
      <c r="N175" s="14">
        <f>IF(TbRegistroEntradas[[#This Row],[Data do Caixa Previsto]]="",0,YEAR(TbRegistroEntradas[[#This Row],[Data do Caixa Previsto]]))</f>
        <v>2019</v>
      </c>
      <c r="O175" s="14" t="str">
        <f>IF(TbRegistroEntradas[[#This Row],[Data da Competência]]=TbRegistroEntradas[[#This Row],[Data do Caixa Previsto]],"Vista","Prazo")</f>
        <v>Prazo</v>
      </c>
      <c r="P17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75" s="14" t="str">
        <f ca="1">IF(AND(TbRegistroEntradas[[#This Row],[Data do Caixa Previsto]]&lt;TODAY(),TbRegistroEntradas[[#This Row],[Data do Caixa Realizado]]=""),"Vencida","Não vencida")</f>
        <v>Não vencida</v>
      </c>
    </row>
    <row r="176" spans="2:17" x14ac:dyDescent="0.25">
      <c r="B176" s="13">
        <v>43484.08707667359</v>
      </c>
      <c r="C176" s="13">
        <v>43465</v>
      </c>
      <c r="D176" s="13">
        <v>43483.090606344922</v>
      </c>
      <c r="E176" s="14" t="s">
        <v>0</v>
      </c>
      <c r="F176" s="14" t="s">
        <v>24</v>
      </c>
      <c r="G176" s="14" t="s">
        <v>252</v>
      </c>
      <c r="H176" s="15">
        <v>3201</v>
      </c>
      <c r="I176" s="14">
        <f>IF(TbRegistroEntradas[[#This Row],[Data do Caixa Realizado]]="",0,MONTH(TbRegistroEntradas[[#This Row],[Data do Caixa Realizado]]))</f>
        <v>1</v>
      </c>
      <c r="J176" s="14">
        <f>IF(TbRegistroEntradas[[#This Row],[Data do Caixa Realizado]]="",0,YEAR(TbRegistroEntradas[[#This Row],[Data do Caixa Realizado]]))</f>
        <v>2019</v>
      </c>
      <c r="K176" s="14">
        <f>IF(TbRegistroEntradas[[#This Row],[Data da Competência]]="",0,MONTH(TbRegistroEntradas[[#This Row],[Data da Competência]]))</f>
        <v>12</v>
      </c>
      <c r="L176" s="14">
        <f>IF(TbRegistroEntradas[[#This Row],[Data da Competência]]="",0,YEAR(TbRegistroEntradas[[#This Row],[Data da Competência]]))</f>
        <v>2018</v>
      </c>
      <c r="M176" s="14">
        <f>IF(TbRegistroEntradas[[#This Row],[Data do Caixa Previsto]]="",0,MONTH(TbRegistroEntradas[[#This Row],[Data do Caixa Previsto]]))</f>
        <v>1</v>
      </c>
      <c r="N176" s="14">
        <f>IF(TbRegistroEntradas[[#This Row],[Data do Caixa Previsto]]="",0,YEAR(TbRegistroEntradas[[#This Row],[Data do Caixa Previsto]]))</f>
        <v>2019</v>
      </c>
      <c r="O176" s="14" t="str">
        <f>IF(TbRegistroEntradas[[#This Row],[Data da Competência]]=TbRegistroEntradas[[#This Row],[Data do Caixa Previsto]],"Vista","Prazo")</f>
        <v>Prazo</v>
      </c>
      <c r="P17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0.99647032866778318</v>
      </c>
      <c r="Q176" s="14" t="str">
        <f ca="1">IF(AND(TbRegistroEntradas[[#This Row],[Data do Caixa Previsto]]&lt;TODAY(),TbRegistroEntradas[[#This Row],[Data do Caixa Realizado]]=""),"Vencida","Não vencida")</f>
        <v>Não vencida</v>
      </c>
    </row>
    <row r="177" spans="2:17" x14ac:dyDescent="0.25">
      <c r="B177" s="13">
        <v>43511.69240968494</v>
      </c>
      <c r="C177" s="13">
        <v>43469</v>
      </c>
      <c r="D177" s="13">
        <v>43511.69240968494</v>
      </c>
      <c r="E177" s="14" t="s">
        <v>0</v>
      </c>
      <c r="F177" s="14" t="s">
        <v>5</v>
      </c>
      <c r="G177" s="14" t="s">
        <v>253</v>
      </c>
      <c r="H177" s="15">
        <v>3007</v>
      </c>
      <c r="I177" s="14">
        <f>IF(TbRegistroEntradas[[#This Row],[Data do Caixa Realizado]]="",0,MONTH(TbRegistroEntradas[[#This Row],[Data do Caixa Realizado]]))</f>
        <v>2</v>
      </c>
      <c r="J177" s="14">
        <f>IF(TbRegistroEntradas[[#This Row],[Data do Caixa Realizado]]="",0,YEAR(TbRegistroEntradas[[#This Row],[Data do Caixa Realizado]]))</f>
        <v>2019</v>
      </c>
      <c r="K177" s="14">
        <f>IF(TbRegistroEntradas[[#This Row],[Data da Competência]]="",0,MONTH(TbRegistroEntradas[[#This Row],[Data da Competência]]))</f>
        <v>1</v>
      </c>
      <c r="L177" s="14">
        <f>IF(TbRegistroEntradas[[#This Row],[Data da Competência]]="",0,YEAR(TbRegistroEntradas[[#This Row],[Data da Competência]]))</f>
        <v>2019</v>
      </c>
      <c r="M177" s="14">
        <f>IF(TbRegistroEntradas[[#This Row],[Data do Caixa Previsto]]="",0,MONTH(TbRegistroEntradas[[#This Row],[Data do Caixa Previsto]]))</f>
        <v>2</v>
      </c>
      <c r="N177" s="14">
        <f>IF(TbRegistroEntradas[[#This Row],[Data do Caixa Previsto]]="",0,YEAR(TbRegistroEntradas[[#This Row],[Data do Caixa Previsto]]))</f>
        <v>2019</v>
      </c>
      <c r="O177" s="14" t="str">
        <f>IF(TbRegistroEntradas[[#This Row],[Data da Competência]]=TbRegistroEntradas[[#This Row],[Data do Caixa Previsto]],"Vista","Prazo")</f>
        <v>Prazo</v>
      </c>
      <c r="P17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77" s="14" t="str">
        <f ca="1">IF(AND(TbRegistroEntradas[[#This Row],[Data do Caixa Previsto]]&lt;TODAY(),TbRegistroEntradas[[#This Row],[Data do Caixa Realizado]]=""),"Vencida","Não vencida")</f>
        <v>Não vencida</v>
      </c>
    </row>
    <row r="178" spans="2:17" x14ac:dyDescent="0.25">
      <c r="B178" s="13">
        <v>43511.114471984198</v>
      </c>
      <c r="C178" s="13">
        <v>43473</v>
      </c>
      <c r="D178" s="13">
        <v>43473</v>
      </c>
      <c r="E178" s="14" t="s">
        <v>0</v>
      </c>
      <c r="F178" s="14" t="s">
        <v>49</v>
      </c>
      <c r="G178" s="14" t="s">
        <v>254</v>
      </c>
      <c r="H178" s="15">
        <v>900</v>
      </c>
      <c r="I178" s="14">
        <f>IF(TbRegistroEntradas[[#This Row],[Data do Caixa Realizado]]="",0,MONTH(TbRegistroEntradas[[#This Row],[Data do Caixa Realizado]]))</f>
        <v>2</v>
      </c>
      <c r="J178" s="14">
        <f>IF(TbRegistroEntradas[[#This Row],[Data do Caixa Realizado]]="",0,YEAR(TbRegistroEntradas[[#This Row],[Data do Caixa Realizado]]))</f>
        <v>2019</v>
      </c>
      <c r="K178" s="14">
        <f>IF(TbRegistroEntradas[[#This Row],[Data da Competência]]="",0,MONTH(TbRegistroEntradas[[#This Row],[Data da Competência]]))</f>
        <v>1</v>
      </c>
      <c r="L178" s="14">
        <f>IF(TbRegistroEntradas[[#This Row],[Data da Competência]]="",0,YEAR(TbRegistroEntradas[[#This Row],[Data da Competência]]))</f>
        <v>2019</v>
      </c>
      <c r="M178" s="14">
        <f>IF(TbRegistroEntradas[[#This Row],[Data do Caixa Previsto]]="",0,MONTH(TbRegistroEntradas[[#This Row],[Data do Caixa Previsto]]))</f>
        <v>1</v>
      </c>
      <c r="N178" s="14">
        <f>IF(TbRegistroEntradas[[#This Row],[Data do Caixa Previsto]]="",0,YEAR(TbRegistroEntradas[[#This Row],[Data do Caixa Previsto]]))</f>
        <v>2019</v>
      </c>
      <c r="O178" s="14" t="str">
        <f>IF(TbRegistroEntradas[[#This Row],[Data da Competência]]=TbRegistroEntradas[[#This Row],[Data do Caixa Previsto]],"Vista","Prazo")</f>
        <v>Vista</v>
      </c>
      <c r="P17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38.114471984197735</v>
      </c>
      <c r="Q178" s="14" t="str">
        <f ca="1">IF(AND(TbRegistroEntradas[[#This Row],[Data do Caixa Previsto]]&lt;TODAY(),TbRegistroEntradas[[#This Row],[Data do Caixa Realizado]]=""),"Vencida","Não vencida")</f>
        <v>Não vencida</v>
      </c>
    </row>
    <row r="179" spans="2:17" x14ac:dyDescent="0.25">
      <c r="B179" s="13">
        <v>43509.221158562403</v>
      </c>
      <c r="C179" s="13">
        <v>43478</v>
      </c>
      <c r="D179" s="13">
        <v>43478</v>
      </c>
      <c r="E179" s="14" t="s">
        <v>0</v>
      </c>
      <c r="F179" s="14" t="s">
        <v>24</v>
      </c>
      <c r="G179" s="14" t="s">
        <v>255</v>
      </c>
      <c r="H179" s="15">
        <v>2970</v>
      </c>
      <c r="I179" s="14">
        <f>IF(TbRegistroEntradas[[#This Row],[Data do Caixa Realizado]]="",0,MONTH(TbRegistroEntradas[[#This Row],[Data do Caixa Realizado]]))</f>
        <v>2</v>
      </c>
      <c r="J179" s="14">
        <f>IF(TbRegistroEntradas[[#This Row],[Data do Caixa Realizado]]="",0,YEAR(TbRegistroEntradas[[#This Row],[Data do Caixa Realizado]]))</f>
        <v>2019</v>
      </c>
      <c r="K179" s="14">
        <f>IF(TbRegistroEntradas[[#This Row],[Data da Competência]]="",0,MONTH(TbRegistroEntradas[[#This Row],[Data da Competência]]))</f>
        <v>1</v>
      </c>
      <c r="L179" s="14">
        <f>IF(TbRegistroEntradas[[#This Row],[Data da Competência]]="",0,YEAR(TbRegistroEntradas[[#This Row],[Data da Competência]]))</f>
        <v>2019</v>
      </c>
      <c r="M179" s="14">
        <f>IF(TbRegistroEntradas[[#This Row],[Data do Caixa Previsto]]="",0,MONTH(TbRegistroEntradas[[#This Row],[Data do Caixa Previsto]]))</f>
        <v>1</v>
      </c>
      <c r="N179" s="14">
        <f>IF(TbRegistroEntradas[[#This Row],[Data do Caixa Previsto]]="",0,YEAR(TbRegistroEntradas[[#This Row],[Data do Caixa Previsto]]))</f>
        <v>2019</v>
      </c>
      <c r="O179" s="14" t="str">
        <f>IF(TbRegistroEntradas[[#This Row],[Data da Competência]]=TbRegistroEntradas[[#This Row],[Data do Caixa Previsto]],"Vista","Prazo")</f>
        <v>Vista</v>
      </c>
      <c r="P17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31.221158562402707</v>
      </c>
      <c r="Q179" s="14" t="str">
        <f ca="1">IF(AND(TbRegistroEntradas[[#This Row],[Data do Caixa Previsto]]&lt;TODAY(),TbRegistroEntradas[[#This Row],[Data do Caixa Realizado]]=""),"Vencida","Não vencida")</f>
        <v>Não vencida</v>
      </c>
    </row>
    <row r="180" spans="2:17" x14ac:dyDescent="0.25">
      <c r="B180" s="13">
        <v>43601.782099050732</v>
      </c>
      <c r="C180" s="13">
        <v>43482</v>
      </c>
      <c r="D180" s="13">
        <v>43538.543475375038</v>
      </c>
      <c r="E180" s="14" t="s">
        <v>0</v>
      </c>
      <c r="F180" s="14" t="s">
        <v>17</v>
      </c>
      <c r="G180" s="14" t="s">
        <v>256</v>
      </c>
      <c r="H180" s="15">
        <v>4993</v>
      </c>
      <c r="I180" s="14">
        <f>IF(TbRegistroEntradas[[#This Row],[Data do Caixa Realizado]]="",0,MONTH(TbRegistroEntradas[[#This Row],[Data do Caixa Realizado]]))</f>
        <v>5</v>
      </c>
      <c r="J180" s="14">
        <f>IF(TbRegistroEntradas[[#This Row],[Data do Caixa Realizado]]="",0,YEAR(TbRegistroEntradas[[#This Row],[Data do Caixa Realizado]]))</f>
        <v>2019</v>
      </c>
      <c r="K180" s="14">
        <f>IF(TbRegistroEntradas[[#This Row],[Data da Competência]]="",0,MONTH(TbRegistroEntradas[[#This Row],[Data da Competência]]))</f>
        <v>1</v>
      </c>
      <c r="L180" s="14">
        <f>IF(TbRegistroEntradas[[#This Row],[Data da Competência]]="",0,YEAR(TbRegistroEntradas[[#This Row],[Data da Competência]]))</f>
        <v>2019</v>
      </c>
      <c r="M180" s="14">
        <f>IF(TbRegistroEntradas[[#This Row],[Data do Caixa Previsto]]="",0,MONTH(TbRegistroEntradas[[#This Row],[Data do Caixa Previsto]]))</f>
        <v>3</v>
      </c>
      <c r="N180" s="14">
        <f>IF(TbRegistroEntradas[[#This Row],[Data do Caixa Previsto]]="",0,YEAR(TbRegistroEntradas[[#This Row],[Data do Caixa Previsto]]))</f>
        <v>2019</v>
      </c>
      <c r="O180" s="14" t="str">
        <f>IF(TbRegistroEntradas[[#This Row],[Data da Competência]]=TbRegistroEntradas[[#This Row],[Data do Caixa Previsto]],"Vista","Prazo")</f>
        <v>Prazo</v>
      </c>
      <c r="P18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63.238623675693816</v>
      </c>
      <c r="Q180" s="14" t="str">
        <f ca="1">IF(AND(TbRegistroEntradas[[#This Row],[Data do Caixa Previsto]]&lt;TODAY(),TbRegistroEntradas[[#This Row],[Data do Caixa Realizado]]=""),"Vencida","Não vencida")</f>
        <v>Não vencida</v>
      </c>
    </row>
    <row r="181" spans="2:17" x14ac:dyDescent="0.25">
      <c r="B181" s="13">
        <v>43485.955494346097</v>
      </c>
      <c r="C181" s="13">
        <v>43485</v>
      </c>
      <c r="D181" s="13">
        <v>43485.955494346097</v>
      </c>
      <c r="E181" s="14" t="s">
        <v>0</v>
      </c>
      <c r="F181" s="14" t="s">
        <v>49</v>
      </c>
      <c r="G181" s="14" t="s">
        <v>257</v>
      </c>
      <c r="H181" s="15">
        <v>1664</v>
      </c>
      <c r="I181" s="14">
        <f>IF(TbRegistroEntradas[[#This Row],[Data do Caixa Realizado]]="",0,MONTH(TbRegistroEntradas[[#This Row],[Data do Caixa Realizado]]))</f>
        <v>1</v>
      </c>
      <c r="J181" s="14">
        <f>IF(TbRegistroEntradas[[#This Row],[Data do Caixa Realizado]]="",0,YEAR(TbRegistroEntradas[[#This Row],[Data do Caixa Realizado]]))</f>
        <v>2019</v>
      </c>
      <c r="K181" s="14">
        <f>IF(TbRegistroEntradas[[#This Row],[Data da Competência]]="",0,MONTH(TbRegistroEntradas[[#This Row],[Data da Competência]]))</f>
        <v>1</v>
      </c>
      <c r="L181" s="14">
        <f>IF(TbRegistroEntradas[[#This Row],[Data da Competência]]="",0,YEAR(TbRegistroEntradas[[#This Row],[Data da Competência]]))</f>
        <v>2019</v>
      </c>
      <c r="M181" s="14">
        <f>IF(TbRegistroEntradas[[#This Row],[Data do Caixa Previsto]]="",0,MONTH(TbRegistroEntradas[[#This Row],[Data do Caixa Previsto]]))</f>
        <v>1</v>
      </c>
      <c r="N181" s="14">
        <f>IF(TbRegistroEntradas[[#This Row],[Data do Caixa Previsto]]="",0,YEAR(TbRegistroEntradas[[#This Row],[Data do Caixa Previsto]]))</f>
        <v>2019</v>
      </c>
      <c r="O181" s="14" t="str">
        <f>IF(TbRegistroEntradas[[#This Row],[Data da Competência]]=TbRegistroEntradas[[#This Row],[Data do Caixa Previsto]],"Vista","Prazo")</f>
        <v>Prazo</v>
      </c>
      <c r="P18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1" s="14" t="str">
        <f ca="1">IF(AND(TbRegistroEntradas[[#This Row],[Data do Caixa Previsto]]&lt;TODAY(),TbRegistroEntradas[[#This Row],[Data do Caixa Realizado]]=""),"Vencida","Não vencida")</f>
        <v>Não vencida</v>
      </c>
    </row>
    <row r="182" spans="2:17" x14ac:dyDescent="0.25">
      <c r="B182" s="13">
        <v>43522.615238592094</v>
      </c>
      <c r="C182" s="13">
        <v>43486</v>
      </c>
      <c r="D182" s="13">
        <v>43522.615238592094</v>
      </c>
      <c r="E182" s="14" t="s">
        <v>0</v>
      </c>
      <c r="F182" s="14" t="s">
        <v>24</v>
      </c>
      <c r="G182" s="14" t="s">
        <v>258</v>
      </c>
      <c r="H182" s="15">
        <v>1815</v>
      </c>
      <c r="I182" s="14">
        <f>IF(TbRegistroEntradas[[#This Row],[Data do Caixa Realizado]]="",0,MONTH(TbRegistroEntradas[[#This Row],[Data do Caixa Realizado]]))</f>
        <v>2</v>
      </c>
      <c r="J182" s="14">
        <f>IF(TbRegistroEntradas[[#This Row],[Data do Caixa Realizado]]="",0,YEAR(TbRegistroEntradas[[#This Row],[Data do Caixa Realizado]]))</f>
        <v>2019</v>
      </c>
      <c r="K182" s="14">
        <f>IF(TbRegistroEntradas[[#This Row],[Data da Competência]]="",0,MONTH(TbRegistroEntradas[[#This Row],[Data da Competência]]))</f>
        <v>1</v>
      </c>
      <c r="L182" s="14">
        <f>IF(TbRegistroEntradas[[#This Row],[Data da Competência]]="",0,YEAR(TbRegistroEntradas[[#This Row],[Data da Competência]]))</f>
        <v>2019</v>
      </c>
      <c r="M182" s="14">
        <f>IF(TbRegistroEntradas[[#This Row],[Data do Caixa Previsto]]="",0,MONTH(TbRegistroEntradas[[#This Row],[Data do Caixa Previsto]]))</f>
        <v>2</v>
      </c>
      <c r="N182" s="14">
        <f>IF(TbRegistroEntradas[[#This Row],[Data do Caixa Previsto]]="",0,YEAR(TbRegistroEntradas[[#This Row],[Data do Caixa Previsto]]))</f>
        <v>2019</v>
      </c>
      <c r="O182" s="14" t="str">
        <f>IF(TbRegistroEntradas[[#This Row],[Data da Competência]]=TbRegistroEntradas[[#This Row],[Data do Caixa Previsto]],"Vista","Prazo")</f>
        <v>Prazo</v>
      </c>
      <c r="P18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2" s="14" t="str">
        <f ca="1">IF(AND(TbRegistroEntradas[[#This Row],[Data do Caixa Previsto]]&lt;TODAY(),TbRegistroEntradas[[#This Row],[Data do Caixa Realizado]]=""),"Vencida","Não vencida")</f>
        <v>Não vencida</v>
      </c>
    </row>
    <row r="183" spans="2:17" x14ac:dyDescent="0.25">
      <c r="B183" s="13">
        <v>43505.043861470636</v>
      </c>
      <c r="C183" s="13">
        <v>43488</v>
      </c>
      <c r="D183" s="13">
        <v>43505.043861470636</v>
      </c>
      <c r="E183" s="14" t="s">
        <v>0</v>
      </c>
      <c r="F183" s="14" t="s">
        <v>5</v>
      </c>
      <c r="G183" s="14" t="s">
        <v>259</v>
      </c>
      <c r="H183" s="15">
        <v>3752</v>
      </c>
      <c r="I183" s="14">
        <f>IF(TbRegistroEntradas[[#This Row],[Data do Caixa Realizado]]="",0,MONTH(TbRegistroEntradas[[#This Row],[Data do Caixa Realizado]]))</f>
        <v>2</v>
      </c>
      <c r="J183" s="14">
        <f>IF(TbRegistroEntradas[[#This Row],[Data do Caixa Realizado]]="",0,YEAR(TbRegistroEntradas[[#This Row],[Data do Caixa Realizado]]))</f>
        <v>2019</v>
      </c>
      <c r="K183" s="14">
        <f>IF(TbRegistroEntradas[[#This Row],[Data da Competência]]="",0,MONTH(TbRegistroEntradas[[#This Row],[Data da Competência]]))</f>
        <v>1</v>
      </c>
      <c r="L183" s="14">
        <f>IF(TbRegistroEntradas[[#This Row],[Data da Competência]]="",0,YEAR(TbRegistroEntradas[[#This Row],[Data da Competência]]))</f>
        <v>2019</v>
      </c>
      <c r="M183" s="14">
        <f>IF(TbRegistroEntradas[[#This Row],[Data do Caixa Previsto]]="",0,MONTH(TbRegistroEntradas[[#This Row],[Data do Caixa Previsto]]))</f>
        <v>2</v>
      </c>
      <c r="N183" s="14">
        <f>IF(TbRegistroEntradas[[#This Row],[Data do Caixa Previsto]]="",0,YEAR(TbRegistroEntradas[[#This Row],[Data do Caixa Previsto]]))</f>
        <v>2019</v>
      </c>
      <c r="O183" s="14" t="str">
        <f>IF(TbRegistroEntradas[[#This Row],[Data da Competência]]=TbRegistroEntradas[[#This Row],[Data do Caixa Previsto]],"Vista","Prazo")</f>
        <v>Prazo</v>
      </c>
      <c r="P18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3" s="14" t="str">
        <f ca="1">IF(AND(TbRegistroEntradas[[#This Row],[Data do Caixa Previsto]]&lt;TODAY(),TbRegistroEntradas[[#This Row],[Data do Caixa Realizado]]=""),"Vencida","Não vencida")</f>
        <v>Não vencida</v>
      </c>
    </row>
    <row r="184" spans="2:17" x14ac:dyDescent="0.25">
      <c r="B184" s="13">
        <v>43513.423178401492</v>
      </c>
      <c r="C184" s="13">
        <v>43492</v>
      </c>
      <c r="D184" s="13">
        <v>43513.423178401492</v>
      </c>
      <c r="E184" s="14" t="s">
        <v>0</v>
      </c>
      <c r="F184" s="14" t="s">
        <v>24</v>
      </c>
      <c r="G184" s="14" t="s">
        <v>260</v>
      </c>
      <c r="H184" s="15">
        <v>177</v>
      </c>
      <c r="I184" s="14">
        <f>IF(TbRegistroEntradas[[#This Row],[Data do Caixa Realizado]]="",0,MONTH(TbRegistroEntradas[[#This Row],[Data do Caixa Realizado]]))</f>
        <v>2</v>
      </c>
      <c r="J184" s="14">
        <f>IF(TbRegistroEntradas[[#This Row],[Data do Caixa Realizado]]="",0,YEAR(TbRegistroEntradas[[#This Row],[Data do Caixa Realizado]]))</f>
        <v>2019</v>
      </c>
      <c r="K184" s="14">
        <f>IF(TbRegistroEntradas[[#This Row],[Data da Competência]]="",0,MONTH(TbRegistroEntradas[[#This Row],[Data da Competência]]))</f>
        <v>1</v>
      </c>
      <c r="L184" s="14">
        <f>IF(TbRegistroEntradas[[#This Row],[Data da Competência]]="",0,YEAR(TbRegistroEntradas[[#This Row],[Data da Competência]]))</f>
        <v>2019</v>
      </c>
      <c r="M184" s="14">
        <f>IF(TbRegistroEntradas[[#This Row],[Data do Caixa Previsto]]="",0,MONTH(TbRegistroEntradas[[#This Row],[Data do Caixa Previsto]]))</f>
        <v>2</v>
      </c>
      <c r="N184" s="14">
        <f>IF(TbRegistroEntradas[[#This Row],[Data do Caixa Previsto]]="",0,YEAR(TbRegistroEntradas[[#This Row],[Data do Caixa Previsto]]))</f>
        <v>2019</v>
      </c>
      <c r="O184" s="14" t="str">
        <f>IF(TbRegistroEntradas[[#This Row],[Data da Competência]]=TbRegistroEntradas[[#This Row],[Data do Caixa Previsto]],"Vista","Prazo")</f>
        <v>Prazo</v>
      </c>
      <c r="P18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4" s="14" t="str">
        <f ca="1">IF(AND(TbRegistroEntradas[[#This Row],[Data do Caixa Previsto]]&lt;TODAY(),TbRegistroEntradas[[#This Row],[Data do Caixa Realizado]]=""),"Vencida","Não vencida")</f>
        <v>Não vencida</v>
      </c>
    </row>
    <row r="185" spans="2:17" x14ac:dyDescent="0.25">
      <c r="B185" s="13">
        <v>43513.404065853094</v>
      </c>
      <c r="C185" s="13">
        <v>43494</v>
      </c>
      <c r="D185" s="13">
        <v>43494</v>
      </c>
      <c r="E185" s="14" t="s">
        <v>0</v>
      </c>
      <c r="F185" s="14" t="s">
        <v>24</v>
      </c>
      <c r="G185" s="14" t="s">
        <v>261</v>
      </c>
      <c r="H185" s="15">
        <v>3619</v>
      </c>
      <c r="I185" s="14">
        <f>IF(TbRegistroEntradas[[#This Row],[Data do Caixa Realizado]]="",0,MONTH(TbRegistroEntradas[[#This Row],[Data do Caixa Realizado]]))</f>
        <v>2</v>
      </c>
      <c r="J185" s="14">
        <f>IF(TbRegistroEntradas[[#This Row],[Data do Caixa Realizado]]="",0,YEAR(TbRegistroEntradas[[#This Row],[Data do Caixa Realizado]]))</f>
        <v>2019</v>
      </c>
      <c r="K185" s="14">
        <f>IF(TbRegistroEntradas[[#This Row],[Data da Competência]]="",0,MONTH(TbRegistroEntradas[[#This Row],[Data da Competência]]))</f>
        <v>1</v>
      </c>
      <c r="L185" s="14">
        <f>IF(TbRegistroEntradas[[#This Row],[Data da Competência]]="",0,YEAR(TbRegistroEntradas[[#This Row],[Data da Competência]]))</f>
        <v>2019</v>
      </c>
      <c r="M185" s="14">
        <f>IF(TbRegistroEntradas[[#This Row],[Data do Caixa Previsto]]="",0,MONTH(TbRegistroEntradas[[#This Row],[Data do Caixa Previsto]]))</f>
        <v>1</v>
      </c>
      <c r="N185" s="14">
        <f>IF(TbRegistroEntradas[[#This Row],[Data do Caixa Previsto]]="",0,YEAR(TbRegistroEntradas[[#This Row],[Data do Caixa Previsto]]))</f>
        <v>2019</v>
      </c>
      <c r="O185" s="14" t="str">
        <f>IF(TbRegistroEntradas[[#This Row],[Data da Competência]]=TbRegistroEntradas[[#This Row],[Data do Caixa Previsto]],"Vista","Prazo")</f>
        <v>Vista</v>
      </c>
      <c r="P18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19.404065853093925</v>
      </c>
      <c r="Q185" s="14" t="str">
        <f ca="1">IF(AND(TbRegistroEntradas[[#This Row],[Data do Caixa Previsto]]&lt;TODAY(),TbRegistroEntradas[[#This Row],[Data do Caixa Realizado]]=""),"Vencida","Não vencida")</f>
        <v>Não vencida</v>
      </c>
    </row>
    <row r="186" spans="2:17" x14ac:dyDescent="0.25">
      <c r="B186" s="13">
        <v>43534.989762344601</v>
      </c>
      <c r="C186" s="13">
        <v>43498</v>
      </c>
      <c r="D186" s="13">
        <v>43534.989762344601</v>
      </c>
      <c r="E186" s="14" t="s">
        <v>0</v>
      </c>
      <c r="F186" s="14" t="s">
        <v>5</v>
      </c>
      <c r="G186" s="14" t="s">
        <v>262</v>
      </c>
      <c r="H186" s="15">
        <v>4030</v>
      </c>
      <c r="I186" s="14">
        <f>IF(TbRegistroEntradas[[#This Row],[Data do Caixa Realizado]]="",0,MONTH(TbRegistroEntradas[[#This Row],[Data do Caixa Realizado]]))</f>
        <v>3</v>
      </c>
      <c r="J186" s="14">
        <f>IF(TbRegistroEntradas[[#This Row],[Data do Caixa Realizado]]="",0,YEAR(TbRegistroEntradas[[#This Row],[Data do Caixa Realizado]]))</f>
        <v>2019</v>
      </c>
      <c r="K186" s="14">
        <f>IF(TbRegistroEntradas[[#This Row],[Data da Competência]]="",0,MONTH(TbRegistroEntradas[[#This Row],[Data da Competência]]))</f>
        <v>2</v>
      </c>
      <c r="L186" s="14">
        <f>IF(TbRegistroEntradas[[#This Row],[Data da Competência]]="",0,YEAR(TbRegistroEntradas[[#This Row],[Data da Competência]]))</f>
        <v>2019</v>
      </c>
      <c r="M186" s="14">
        <f>IF(TbRegistroEntradas[[#This Row],[Data do Caixa Previsto]]="",0,MONTH(TbRegistroEntradas[[#This Row],[Data do Caixa Previsto]]))</f>
        <v>3</v>
      </c>
      <c r="N186" s="14">
        <f>IF(TbRegistroEntradas[[#This Row],[Data do Caixa Previsto]]="",0,YEAR(TbRegistroEntradas[[#This Row],[Data do Caixa Previsto]]))</f>
        <v>2019</v>
      </c>
      <c r="O186" s="14" t="str">
        <f>IF(TbRegistroEntradas[[#This Row],[Data da Competência]]=TbRegistroEntradas[[#This Row],[Data do Caixa Previsto]],"Vista","Prazo")</f>
        <v>Prazo</v>
      </c>
      <c r="P18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6" s="14" t="str">
        <f ca="1">IF(AND(TbRegistroEntradas[[#This Row],[Data do Caixa Previsto]]&lt;TODAY(),TbRegistroEntradas[[#This Row],[Data do Caixa Realizado]]=""),"Vencida","Não vencida")</f>
        <v>Não vencida</v>
      </c>
    </row>
    <row r="187" spans="2:17" x14ac:dyDescent="0.25">
      <c r="B187" s="13">
        <v>43512.886043755854</v>
      </c>
      <c r="C187" s="13">
        <v>43501</v>
      </c>
      <c r="D187" s="13">
        <v>43512.886043755854</v>
      </c>
      <c r="E187" s="14" t="s">
        <v>0</v>
      </c>
      <c r="F187" s="14" t="s">
        <v>5</v>
      </c>
      <c r="G187" s="14" t="s">
        <v>263</v>
      </c>
      <c r="H187" s="15">
        <v>4157</v>
      </c>
      <c r="I187" s="14">
        <f>IF(TbRegistroEntradas[[#This Row],[Data do Caixa Realizado]]="",0,MONTH(TbRegistroEntradas[[#This Row],[Data do Caixa Realizado]]))</f>
        <v>2</v>
      </c>
      <c r="J187" s="14">
        <f>IF(TbRegistroEntradas[[#This Row],[Data do Caixa Realizado]]="",0,YEAR(TbRegistroEntradas[[#This Row],[Data do Caixa Realizado]]))</f>
        <v>2019</v>
      </c>
      <c r="K187" s="14">
        <f>IF(TbRegistroEntradas[[#This Row],[Data da Competência]]="",0,MONTH(TbRegistroEntradas[[#This Row],[Data da Competência]]))</f>
        <v>2</v>
      </c>
      <c r="L187" s="14">
        <f>IF(TbRegistroEntradas[[#This Row],[Data da Competência]]="",0,YEAR(TbRegistroEntradas[[#This Row],[Data da Competência]]))</f>
        <v>2019</v>
      </c>
      <c r="M187" s="14">
        <f>IF(TbRegistroEntradas[[#This Row],[Data do Caixa Previsto]]="",0,MONTH(TbRegistroEntradas[[#This Row],[Data do Caixa Previsto]]))</f>
        <v>2</v>
      </c>
      <c r="N187" s="14">
        <f>IF(TbRegistroEntradas[[#This Row],[Data do Caixa Previsto]]="",0,YEAR(TbRegistroEntradas[[#This Row],[Data do Caixa Previsto]]))</f>
        <v>2019</v>
      </c>
      <c r="O187" s="14" t="str">
        <f>IF(TbRegistroEntradas[[#This Row],[Data da Competência]]=TbRegistroEntradas[[#This Row],[Data do Caixa Previsto]],"Vista","Prazo")</f>
        <v>Prazo</v>
      </c>
      <c r="P18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7" s="14" t="str">
        <f ca="1">IF(AND(TbRegistroEntradas[[#This Row],[Data do Caixa Previsto]]&lt;TODAY(),TbRegistroEntradas[[#This Row],[Data do Caixa Realizado]]=""),"Vencida","Não vencida")</f>
        <v>Não vencida</v>
      </c>
    </row>
    <row r="188" spans="2:17" x14ac:dyDescent="0.25">
      <c r="B188" s="13">
        <v>43532.824988934779</v>
      </c>
      <c r="C188" s="13">
        <v>43502</v>
      </c>
      <c r="D188" s="13">
        <v>43532.824988934779</v>
      </c>
      <c r="E188" s="14" t="s">
        <v>0</v>
      </c>
      <c r="F188" s="14" t="s">
        <v>3</v>
      </c>
      <c r="G188" s="14" t="s">
        <v>264</v>
      </c>
      <c r="H188" s="15">
        <v>1417</v>
      </c>
      <c r="I188" s="14">
        <f>IF(TbRegistroEntradas[[#This Row],[Data do Caixa Realizado]]="",0,MONTH(TbRegistroEntradas[[#This Row],[Data do Caixa Realizado]]))</f>
        <v>3</v>
      </c>
      <c r="J188" s="14">
        <f>IF(TbRegistroEntradas[[#This Row],[Data do Caixa Realizado]]="",0,YEAR(TbRegistroEntradas[[#This Row],[Data do Caixa Realizado]]))</f>
        <v>2019</v>
      </c>
      <c r="K188" s="14">
        <f>IF(TbRegistroEntradas[[#This Row],[Data da Competência]]="",0,MONTH(TbRegistroEntradas[[#This Row],[Data da Competência]]))</f>
        <v>2</v>
      </c>
      <c r="L188" s="14">
        <f>IF(TbRegistroEntradas[[#This Row],[Data da Competência]]="",0,YEAR(TbRegistroEntradas[[#This Row],[Data da Competência]]))</f>
        <v>2019</v>
      </c>
      <c r="M188" s="14">
        <f>IF(TbRegistroEntradas[[#This Row],[Data do Caixa Previsto]]="",0,MONTH(TbRegistroEntradas[[#This Row],[Data do Caixa Previsto]]))</f>
        <v>3</v>
      </c>
      <c r="N188" s="14">
        <f>IF(TbRegistroEntradas[[#This Row],[Data do Caixa Previsto]]="",0,YEAR(TbRegistroEntradas[[#This Row],[Data do Caixa Previsto]]))</f>
        <v>2019</v>
      </c>
      <c r="O188" s="14" t="str">
        <f>IF(TbRegistroEntradas[[#This Row],[Data da Competência]]=TbRegistroEntradas[[#This Row],[Data do Caixa Previsto]],"Vista","Prazo")</f>
        <v>Prazo</v>
      </c>
      <c r="P18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8" s="14" t="str">
        <f ca="1">IF(AND(TbRegistroEntradas[[#This Row],[Data do Caixa Previsto]]&lt;TODAY(),TbRegistroEntradas[[#This Row],[Data do Caixa Realizado]]=""),"Vencida","Não vencida")</f>
        <v>Não vencida</v>
      </c>
    </row>
    <row r="189" spans="2:17" x14ac:dyDescent="0.25">
      <c r="B189" s="13">
        <v>43540.311131757786</v>
      </c>
      <c r="C189" s="13">
        <v>43505</v>
      </c>
      <c r="D189" s="13">
        <v>43540.311131757786</v>
      </c>
      <c r="E189" s="14" t="s">
        <v>0</v>
      </c>
      <c r="F189" s="14" t="s">
        <v>49</v>
      </c>
      <c r="G189" s="14" t="s">
        <v>265</v>
      </c>
      <c r="H189" s="15">
        <v>1117</v>
      </c>
      <c r="I189" s="14">
        <f>IF(TbRegistroEntradas[[#This Row],[Data do Caixa Realizado]]="",0,MONTH(TbRegistroEntradas[[#This Row],[Data do Caixa Realizado]]))</f>
        <v>3</v>
      </c>
      <c r="J189" s="14">
        <f>IF(TbRegistroEntradas[[#This Row],[Data do Caixa Realizado]]="",0,YEAR(TbRegistroEntradas[[#This Row],[Data do Caixa Realizado]]))</f>
        <v>2019</v>
      </c>
      <c r="K189" s="14">
        <f>IF(TbRegistroEntradas[[#This Row],[Data da Competência]]="",0,MONTH(TbRegistroEntradas[[#This Row],[Data da Competência]]))</f>
        <v>2</v>
      </c>
      <c r="L189" s="14">
        <f>IF(TbRegistroEntradas[[#This Row],[Data da Competência]]="",0,YEAR(TbRegistroEntradas[[#This Row],[Data da Competência]]))</f>
        <v>2019</v>
      </c>
      <c r="M189" s="14">
        <f>IF(TbRegistroEntradas[[#This Row],[Data do Caixa Previsto]]="",0,MONTH(TbRegistroEntradas[[#This Row],[Data do Caixa Previsto]]))</f>
        <v>3</v>
      </c>
      <c r="N189" s="14">
        <f>IF(TbRegistroEntradas[[#This Row],[Data do Caixa Previsto]]="",0,YEAR(TbRegistroEntradas[[#This Row],[Data do Caixa Previsto]]))</f>
        <v>2019</v>
      </c>
      <c r="O189" s="14" t="str">
        <f>IF(TbRegistroEntradas[[#This Row],[Data da Competência]]=TbRegistroEntradas[[#This Row],[Data do Caixa Previsto]],"Vista","Prazo")</f>
        <v>Prazo</v>
      </c>
      <c r="P18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9" s="14" t="str">
        <f ca="1">IF(AND(TbRegistroEntradas[[#This Row],[Data do Caixa Previsto]]&lt;TODAY(),TbRegistroEntradas[[#This Row],[Data do Caixa Realizado]]=""),"Vencida","Não vencida")</f>
        <v>Não vencida</v>
      </c>
    </row>
    <row r="190" spans="2:17" x14ac:dyDescent="0.25">
      <c r="B190" s="13">
        <v>43541.652544038297</v>
      </c>
      <c r="C190" s="13">
        <v>43506</v>
      </c>
      <c r="D190" s="13">
        <v>43541.652544038297</v>
      </c>
      <c r="E190" s="14" t="s">
        <v>0</v>
      </c>
      <c r="F190" s="14" t="s">
        <v>17</v>
      </c>
      <c r="G190" s="14" t="s">
        <v>266</v>
      </c>
      <c r="H190" s="15">
        <v>4461</v>
      </c>
      <c r="I190" s="14">
        <f>IF(TbRegistroEntradas[[#This Row],[Data do Caixa Realizado]]="",0,MONTH(TbRegistroEntradas[[#This Row],[Data do Caixa Realizado]]))</f>
        <v>3</v>
      </c>
      <c r="J190" s="14">
        <f>IF(TbRegistroEntradas[[#This Row],[Data do Caixa Realizado]]="",0,YEAR(TbRegistroEntradas[[#This Row],[Data do Caixa Realizado]]))</f>
        <v>2019</v>
      </c>
      <c r="K190" s="14">
        <f>IF(TbRegistroEntradas[[#This Row],[Data da Competência]]="",0,MONTH(TbRegistroEntradas[[#This Row],[Data da Competência]]))</f>
        <v>2</v>
      </c>
      <c r="L190" s="14">
        <f>IF(TbRegistroEntradas[[#This Row],[Data da Competência]]="",0,YEAR(TbRegistroEntradas[[#This Row],[Data da Competência]]))</f>
        <v>2019</v>
      </c>
      <c r="M190" s="14">
        <f>IF(TbRegistroEntradas[[#This Row],[Data do Caixa Previsto]]="",0,MONTH(TbRegistroEntradas[[#This Row],[Data do Caixa Previsto]]))</f>
        <v>3</v>
      </c>
      <c r="N190" s="14">
        <f>IF(TbRegistroEntradas[[#This Row],[Data do Caixa Previsto]]="",0,YEAR(TbRegistroEntradas[[#This Row],[Data do Caixa Previsto]]))</f>
        <v>2019</v>
      </c>
      <c r="O190" s="14" t="str">
        <f>IF(TbRegistroEntradas[[#This Row],[Data da Competência]]=TbRegistroEntradas[[#This Row],[Data do Caixa Previsto]],"Vista","Prazo")</f>
        <v>Prazo</v>
      </c>
      <c r="P19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90" s="14" t="str">
        <f ca="1">IF(AND(TbRegistroEntradas[[#This Row],[Data do Caixa Previsto]]&lt;TODAY(),TbRegistroEntradas[[#This Row],[Data do Caixa Realizado]]=""),"Vencida","Não vencida")</f>
        <v>Não vencida</v>
      </c>
    </row>
    <row r="191" spans="2:17" x14ac:dyDescent="0.25">
      <c r="B191" s="13">
        <v>43560.051672837129</v>
      </c>
      <c r="C191" s="13">
        <v>43508</v>
      </c>
      <c r="D191" s="13">
        <v>43508</v>
      </c>
      <c r="E191" s="14" t="s">
        <v>0</v>
      </c>
      <c r="F191" s="14" t="s">
        <v>24</v>
      </c>
      <c r="G191" s="14" t="s">
        <v>267</v>
      </c>
      <c r="H191" s="15">
        <v>3732</v>
      </c>
      <c r="I191" s="14">
        <f>IF(TbRegistroEntradas[[#This Row],[Data do Caixa Realizado]]="",0,MONTH(TbRegistroEntradas[[#This Row],[Data do Caixa Realizado]]))</f>
        <v>4</v>
      </c>
      <c r="J191" s="14">
        <f>IF(TbRegistroEntradas[[#This Row],[Data do Caixa Realizado]]="",0,YEAR(TbRegistroEntradas[[#This Row],[Data do Caixa Realizado]]))</f>
        <v>2019</v>
      </c>
      <c r="K191" s="14">
        <f>IF(TbRegistroEntradas[[#This Row],[Data da Competência]]="",0,MONTH(TbRegistroEntradas[[#This Row],[Data da Competência]]))</f>
        <v>2</v>
      </c>
      <c r="L191" s="14">
        <f>IF(TbRegistroEntradas[[#This Row],[Data da Competência]]="",0,YEAR(TbRegistroEntradas[[#This Row],[Data da Competência]]))</f>
        <v>2019</v>
      </c>
      <c r="M191" s="14">
        <f>IF(TbRegistroEntradas[[#This Row],[Data do Caixa Previsto]]="",0,MONTH(TbRegistroEntradas[[#This Row],[Data do Caixa Previsto]]))</f>
        <v>2</v>
      </c>
      <c r="N191" s="14">
        <f>IF(TbRegistroEntradas[[#This Row],[Data do Caixa Previsto]]="",0,YEAR(TbRegistroEntradas[[#This Row],[Data do Caixa Previsto]]))</f>
        <v>2019</v>
      </c>
      <c r="O191" s="14" t="str">
        <f>IF(TbRegistroEntradas[[#This Row],[Data da Competência]]=TbRegistroEntradas[[#This Row],[Data do Caixa Previsto]],"Vista","Prazo")</f>
        <v>Vista</v>
      </c>
      <c r="P19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52.051672837129445</v>
      </c>
      <c r="Q191" s="14" t="str">
        <f ca="1">IF(AND(TbRegistroEntradas[[#This Row],[Data do Caixa Previsto]]&lt;TODAY(),TbRegistroEntradas[[#This Row],[Data do Caixa Realizado]]=""),"Vencida","Não vencida")</f>
        <v>Não vencida</v>
      </c>
    </row>
    <row r="192" spans="2:17" x14ac:dyDescent="0.25">
      <c r="B192" s="13">
        <v>43512.426649972214</v>
      </c>
      <c r="C192" s="13">
        <v>43509</v>
      </c>
      <c r="D192" s="13">
        <v>43509</v>
      </c>
      <c r="E192" s="14" t="s">
        <v>0</v>
      </c>
      <c r="F192" s="14" t="s">
        <v>49</v>
      </c>
      <c r="G192" s="14" t="s">
        <v>268</v>
      </c>
      <c r="H192" s="15">
        <v>2024</v>
      </c>
      <c r="I192" s="14">
        <f>IF(TbRegistroEntradas[[#This Row],[Data do Caixa Realizado]]="",0,MONTH(TbRegistroEntradas[[#This Row],[Data do Caixa Realizado]]))</f>
        <v>2</v>
      </c>
      <c r="J192" s="14">
        <f>IF(TbRegistroEntradas[[#This Row],[Data do Caixa Realizado]]="",0,YEAR(TbRegistroEntradas[[#This Row],[Data do Caixa Realizado]]))</f>
        <v>2019</v>
      </c>
      <c r="K192" s="14">
        <f>IF(TbRegistroEntradas[[#This Row],[Data da Competência]]="",0,MONTH(TbRegistroEntradas[[#This Row],[Data da Competência]]))</f>
        <v>2</v>
      </c>
      <c r="L192" s="14">
        <f>IF(TbRegistroEntradas[[#This Row],[Data da Competência]]="",0,YEAR(TbRegistroEntradas[[#This Row],[Data da Competência]]))</f>
        <v>2019</v>
      </c>
      <c r="M192" s="14">
        <f>IF(TbRegistroEntradas[[#This Row],[Data do Caixa Previsto]]="",0,MONTH(TbRegistroEntradas[[#This Row],[Data do Caixa Previsto]]))</f>
        <v>2</v>
      </c>
      <c r="N192" s="14">
        <f>IF(TbRegistroEntradas[[#This Row],[Data do Caixa Previsto]]="",0,YEAR(TbRegistroEntradas[[#This Row],[Data do Caixa Previsto]]))</f>
        <v>2019</v>
      </c>
      <c r="O192" s="14" t="str">
        <f>IF(TbRegistroEntradas[[#This Row],[Data da Competência]]=TbRegistroEntradas[[#This Row],[Data do Caixa Previsto]],"Vista","Prazo")</f>
        <v>Vista</v>
      </c>
      <c r="P19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3.4266499722143635</v>
      </c>
      <c r="Q192" s="14" t="str">
        <f ca="1">IF(AND(TbRegistroEntradas[[#This Row],[Data do Caixa Previsto]]&lt;TODAY(),TbRegistroEntradas[[#This Row],[Data do Caixa Realizado]]=""),"Vencida","Não vencida")</f>
        <v>Não vencida</v>
      </c>
    </row>
    <row r="193" spans="2:17" x14ac:dyDescent="0.25">
      <c r="B193" s="13" t="s">
        <v>92</v>
      </c>
      <c r="C193" s="13">
        <v>43512</v>
      </c>
      <c r="D193" s="13">
        <v>43512</v>
      </c>
      <c r="E193" s="14" t="s">
        <v>0</v>
      </c>
      <c r="F193" s="14" t="s">
        <v>24</v>
      </c>
      <c r="G193" s="14" t="s">
        <v>269</v>
      </c>
      <c r="H193" s="15">
        <v>928</v>
      </c>
      <c r="I193" s="14">
        <f>IF(TbRegistroEntradas[[#This Row],[Data do Caixa Realizado]]="",0,MONTH(TbRegistroEntradas[[#This Row],[Data do Caixa Realizado]]))</f>
        <v>0</v>
      </c>
      <c r="J193" s="14">
        <f>IF(TbRegistroEntradas[[#This Row],[Data do Caixa Realizado]]="",0,YEAR(TbRegistroEntradas[[#This Row],[Data do Caixa Realizado]]))</f>
        <v>0</v>
      </c>
      <c r="K193" s="14">
        <f>IF(TbRegistroEntradas[[#This Row],[Data da Competência]]="",0,MONTH(TbRegistroEntradas[[#This Row],[Data da Competência]]))</f>
        <v>2</v>
      </c>
      <c r="L193" s="14">
        <f>IF(TbRegistroEntradas[[#This Row],[Data da Competência]]="",0,YEAR(TbRegistroEntradas[[#This Row],[Data da Competência]]))</f>
        <v>2019</v>
      </c>
      <c r="M193" s="14">
        <f>IF(TbRegistroEntradas[[#This Row],[Data do Caixa Previsto]]="",0,MONTH(TbRegistroEntradas[[#This Row],[Data do Caixa Previsto]]))</f>
        <v>2</v>
      </c>
      <c r="N193" s="14">
        <f>IF(TbRegistroEntradas[[#This Row],[Data do Caixa Previsto]]="",0,YEAR(TbRegistroEntradas[[#This Row],[Data do Caixa Previsto]]))</f>
        <v>2019</v>
      </c>
      <c r="O193" s="14" t="str">
        <f>IF(TbRegistroEntradas[[#This Row],[Data da Competência]]=TbRegistroEntradas[[#This Row],[Data do Caixa Previsto]],"Vista","Prazo")</f>
        <v>Vista</v>
      </c>
      <c r="P19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1882</v>
      </c>
      <c r="Q193" s="14" t="str">
        <f ca="1">IF(AND(TbRegistroEntradas[[#This Row],[Data do Caixa Previsto]]&lt;TODAY(),TbRegistroEntradas[[#This Row],[Data do Caixa Realizado]]=""),"Vencida","Não vencida")</f>
        <v>Vencida</v>
      </c>
    </row>
    <row r="194" spans="2:17" x14ac:dyDescent="0.25">
      <c r="B194" s="13">
        <v>43560.066685649028</v>
      </c>
      <c r="C194" s="13">
        <v>43513</v>
      </c>
      <c r="D194" s="13">
        <v>43513</v>
      </c>
      <c r="E194" s="14" t="s">
        <v>0</v>
      </c>
      <c r="F194" s="14" t="s">
        <v>24</v>
      </c>
      <c r="G194" s="14" t="s">
        <v>270</v>
      </c>
      <c r="H194" s="15">
        <v>3557</v>
      </c>
      <c r="I194" s="14">
        <f>IF(TbRegistroEntradas[[#This Row],[Data do Caixa Realizado]]="",0,MONTH(TbRegistroEntradas[[#This Row],[Data do Caixa Realizado]]))</f>
        <v>4</v>
      </c>
      <c r="J194" s="14">
        <f>IF(TbRegistroEntradas[[#This Row],[Data do Caixa Realizado]]="",0,YEAR(TbRegistroEntradas[[#This Row],[Data do Caixa Realizado]]))</f>
        <v>2019</v>
      </c>
      <c r="K194" s="14">
        <f>IF(TbRegistroEntradas[[#This Row],[Data da Competência]]="",0,MONTH(TbRegistroEntradas[[#This Row],[Data da Competência]]))</f>
        <v>2</v>
      </c>
      <c r="L194" s="14">
        <f>IF(TbRegistroEntradas[[#This Row],[Data da Competência]]="",0,YEAR(TbRegistroEntradas[[#This Row],[Data da Competência]]))</f>
        <v>2019</v>
      </c>
      <c r="M194" s="14">
        <f>IF(TbRegistroEntradas[[#This Row],[Data do Caixa Previsto]]="",0,MONTH(TbRegistroEntradas[[#This Row],[Data do Caixa Previsto]]))</f>
        <v>2</v>
      </c>
      <c r="N194" s="14">
        <f>IF(TbRegistroEntradas[[#This Row],[Data do Caixa Previsto]]="",0,YEAR(TbRegistroEntradas[[#This Row],[Data do Caixa Previsto]]))</f>
        <v>2019</v>
      </c>
      <c r="O194" s="14" t="str">
        <f>IF(TbRegistroEntradas[[#This Row],[Data da Competência]]=TbRegistroEntradas[[#This Row],[Data do Caixa Previsto]],"Vista","Prazo")</f>
        <v>Vista</v>
      </c>
      <c r="P19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47.066685649027932</v>
      </c>
      <c r="Q194" s="14" t="str">
        <f ca="1">IF(AND(TbRegistroEntradas[[#This Row],[Data do Caixa Previsto]]&lt;TODAY(),TbRegistroEntradas[[#This Row],[Data do Caixa Realizado]]=""),"Vencida","Não vencida")</f>
        <v>Não vencida</v>
      </c>
    </row>
    <row r="195" spans="2:17" x14ac:dyDescent="0.25">
      <c r="B195" s="13">
        <v>43540.820705056554</v>
      </c>
      <c r="C195" s="13">
        <v>43514</v>
      </c>
      <c r="D195" s="13">
        <v>43540.820705056554</v>
      </c>
      <c r="E195" s="14" t="s">
        <v>0</v>
      </c>
      <c r="F195" s="14" t="s">
        <v>49</v>
      </c>
      <c r="G195" s="14" t="s">
        <v>271</v>
      </c>
      <c r="H195" s="15">
        <v>741</v>
      </c>
      <c r="I195" s="14">
        <f>IF(TbRegistroEntradas[[#This Row],[Data do Caixa Realizado]]="",0,MONTH(TbRegistroEntradas[[#This Row],[Data do Caixa Realizado]]))</f>
        <v>3</v>
      </c>
      <c r="J195" s="14">
        <f>IF(TbRegistroEntradas[[#This Row],[Data do Caixa Realizado]]="",0,YEAR(TbRegistroEntradas[[#This Row],[Data do Caixa Realizado]]))</f>
        <v>2019</v>
      </c>
      <c r="K195" s="14">
        <f>IF(TbRegistroEntradas[[#This Row],[Data da Competência]]="",0,MONTH(TbRegistroEntradas[[#This Row],[Data da Competência]]))</f>
        <v>2</v>
      </c>
      <c r="L195" s="14">
        <f>IF(TbRegistroEntradas[[#This Row],[Data da Competência]]="",0,YEAR(TbRegistroEntradas[[#This Row],[Data da Competência]]))</f>
        <v>2019</v>
      </c>
      <c r="M195" s="14">
        <f>IF(TbRegistroEntradas[[#This Row],[Data do Caixa Previsto]]="",0,MONTH(TbRegistroEntradas[[#This Row],[Data do Caixa Previsto]]))</f>
        <v>3</v>
      </c>
      <c r="N195" s="14">
        <f>IF(TbRegistroEntradas[[#This Row],[Data do Caixa Previsto]]="",0,YEAR(TbRegistroEntradas[[#This Row],[Data do Caixa Previsto]]))</f>
        <v>2019</v>
      </c>
      <c r="O195" s="14" t="str">
        <f>IF(TbRegistroEntradas[[#This Row],[Data da Competência]]=TbRegistroEntradas[[#This Row],[Data do Caixa Previsto]],"Vista","Prazo")</f>
        <v>Prazo</v>
      </c>
      <c r="P19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95" s="14" t="str">
        <f ca="1">IF(AND(TbRegistroEntradas[[#This Row],[Data do Caixa Previsto]]&lt;TODAY(),TbRegistroEntradas[[#This Row],[Data do Caixa Realizado]]=""),"Vencida","Não vencida")</f>
        <v>Não vencida</v>
      </c>
    </row>
    <row r="196" spans="2:17" x14ac:dyDescent="0.25">
      <c r="B196" s="13">
        <v>43548.222942782464</v>
      </c>
      <c r="C196" s="13">
        <v>43517</v>
      </c>
      <c r="D196" s="13">
        <v>43548.222942782464</v>
      </c>
      <c r="E196" s="14" t="s">
        <v>0</v>
      </c>
      <c r="F196" s="14" t="s">
        <v>49</v>
      </c>
      <c r="G196" s="14" t="s">
        <v>272</v>
      </c>
      <c r="H196" s="15">
        <v>850</v>
      </c>
      <c r="I196" s="14">
        <f>IF(TbRegistroEntradas[[#This Row],[Data do Caixa Realizado]]="",0,MONTH(TbRegistroEntradas[[#This Row],[Data do Caixa Realizado]]))</f>
        <v>3</v>
      </c>
      <c r="J196" s="14">
        <f>IF(TbRegistroEntradas[[#This Row],[Data do Caixa Realizado]]="",0,YEAR(TbRegistroEntradas[[#This Row],[Data do Caixa Realizado]]))</f>
        <v>2019</v>
      </c>
      <c r="K196" s="14">
        <f>IF(TbRegistroEntradas[[#This Row],[Data da Competência]]="",0,MONTH(TbRegistroEntradas[[#This Row],[Data da Competência]]))</f>
        <v>2</v>
      </c>
      <c r="L196" s="14">
        <f>IF(TbRegistroEntradas[[#This Row],[Data da Competência]]="",0,YEAR(TbRegistroEntradas[[#This Row],[Data da Competência]]))</f>
        <v>2019</v>
      </c>
      <c r="M196" s="14">
        <f>IF(TbRegistroEntradas[[#This Row],[Data do Caixa Previsto]]="",0,MONTH(TbRegistroEntradas[[#This Row],[Data do Caixa Previsto]]))</f>
        <v>3</v>
      </c>
      <c r="N196" s="14">
        <f>IF(TbRegistroEntradas[[#This Row],[Data do Caixa Previsto]]="",0,YEAR(TbRegistroEntradas[[#This Row],[Data do Caixa Previsto]]))</f>
        <v>2019</v>
      </c>
      <c r="O196" s="14" t="str">
        <f>IF(TbRegistroEntradas[[#This Row],[Data da Competência]]=TbRegistroEntradas[[#This Row],[Data do Caixa Previsto]],"Vista","Prazo")</f>
        <v>Prazo</v>
      </c>
      <c r="P19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96" s="14" t="str">
        <f ca="1">IF(AND(TbRegistroEntradas[[#This Row],[Data do Caixa Previsto]]&lt;TODAY(),TbRegistroEntradas[[#This Row],[Data do Caixa Realizado]]=""),"Vencida","Não vencida")</f>
        <v>Não vencida</v>
      </c>
    </row>
    <row r="197" spans="2:17" x14ac:dyDescent="0.25">
      <c r="B197" s="13">
        <v>43625.080024605937</v>
      </c>
      <c r="C197" s="13">
        <v>43522</v>
      </c>
      <c r="D197" s="13">
        <v>43522</v>
      </c>
      <c r="E197" s="14" t="s">
        <v>0</v>
      </c>
      <c r="F197" s="14" t="s">
        <v>24</v>
      </c>
      <c r="G197" s="14" t="s">
        <v>273</v>
      </c>
      <c r="H197" s="15">
        <v>4741</v>
      </c>
      <c r="I197" s="14">
        <f>IF(TbRegistroEntradas[[#This Row],[Data do Caixa Realizado]]="",0,MONTH(TbRegistroEntradas[[#This Row],[Data do Caixa Realizado]]))</f>
        <v>6</v>
      </c>
      <c r="J197" s="14">
        <f>IF(TbRegistroEntradas[[#This Row],[Data do Caixa Realizado]]="",0,YEAR(TbRegistroEntradas[[#This Row],[Data do Caixa Realizado]]))</f>
        <v>2019</v>
      </c>
      <c r="K197" s="14">
        <f>IF(TbRegistroEntradas[[#This Row],[Data da Competência]]="",0,MONTH(TbRegistroEntradas[[#This Row],[Data da Competência]]))</f>
        <v>2</v>
      </c>
      <c r="L197" s="14">
        <f>IF(TbRegistroEntradas[[#This Row],[Data da Competência]]="",0,YEAR(TbRegistroEntradas[[#This Row],[Data da Competência]]))</f>
        <v>2019</v>
      </c>
      <c r="M197" s="14">
        <f>IF(TbRegistroEntradas[[#This Row],[Data do Caixa Previsto]]="",0,MONTH(TbRegistroEntradas[[#This Row],[Data do Caixa Previsto]]))</f>
        <v>2</v>
      </c>
      <c r="N197" s="14">
        <f>IF(TbRegistroEntradas[[#This Row],[Data do Caixa Previsto]]="",0,YEAR(TbRegistroEntradas[[#This Row],[Data do Caixa Previsto]]))</f>
        <v>2019</v>
      </c>
      <c r="O197" s="14" t="str">
        <f>IF(TbRegistroEntradas[[#This Row],[Data da Competência]]=TbRegistroEntradas[[#This Row],[Data do Caixa Previsto]],"Vista","Prazo")</f>
        <v>Vista</v>
      </c>
      <c r="P19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103.08002460593707</v>
      </c>
      <c r="Q197" s="14" t="str">
        <f ca="1">IF(AND(TbRegistroEntradas[[#This Row],[Data do Caixa Previsto]]&lt;TODAY(),TbRegistroEntradas[[#This Row],[Data do Caixa Realizado]]=""),"Vencida","Não vencida")</f>
        <v>Não vencida</v>
      </c>
    </row>
    <row r="198" spans="2:17" x14ac:dyDescent="0.25">
      <c r="B198" s="13">
        <v>43571.459066587013</v>
      </c>
      <c r="C198" s="13">
        <v>43525</v>
      </c>
      <c r="D198" s="13">
        <v>43525</v>
      </c>
      <c r="E198" s="14" t="s">
        <v>0</v>
      </c>
      <c r="F198" s="14" t="s">
        <v>3</v>
      </c>
      <c r="G198" s="14" t="s">
        <v>274</v>
      </c>
      <c r="H198" s="15">
        <v>471</v>
      </c>
      <c r="I198" s="14">
        <f>IF(TbRegistroEntradas[[#This Row],[Data do Caixa Realizado]]="",0,MONTH(TbRegistroEntradas[[#This Row],[Data do Caixa Realizado]]))</f>
        <v>4</v>
      </c>
      <c r="J198" s="14">
        <f>IF(TbRegistroEntradas[[#This Row],[Data do Caixa Realizado]]="",0,YEAR(TbRegistroEntradas[[#This Row],[Data do Caixa Realizado]]))</f>
        <v>2019</v>
      </c>
      <c r="K198" s="14">
        <f>IF(TbRegistroEntradas[[#This Row],[Data da Competência]]="",0,MONTH(TbRegistroEntradas[[#This Row],[Data da Competência]]))</f>
        <v>3</v>
      </c>
      <c r="L198" s="14">
        <f>IF(TbRegistroEntradas[[#This Row],[Data da Competência]]="",0,YEAR(TbRegistroEntradas[[#This Row],[Data da Competência]]))</f>
        <v>2019</v>
      </c>
      <c r="M198" s="14">
        <f>IF(TbRegistroEntradas[[#This Row],[Data do Caixa Previsto]]="",0,MONTH(TbRegistroEntradas[[#This Row],[Data do Caixa Previsto]]))</f>
        <v>3</v>
      </c>
      <c r="N198" s="14">
        <f>IF(TbRegistroEntradas[[#This Row],[Data do Caixa Previsto]]="",0,YEAR(TbRegistroEntradas[[#This Row],[Data do Caixa Previsto]]))</f>
        <v>2019</v>
      </c>
      <c r="O198" s="14" t="str">
        <f>IF(TbRegistroEntradas[[#This Row],[Data da Competência]]=TbRegistroEntradas[[#This Row],[Data do Caixa Previsto]],"Vista","Prazo")</f>
        <v>Vista</v>
      </c>
      <c r="P19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46.459066587012785</v>
      </c>
      <c r="Q198" s="14" t="str">
        <f ca="1">IF(AND(TbRegistroEntradas[[#This Row],[Data do Caixa Previsto]]&lt;TODAY(),TbRegistroEntradas[[#This Row],[Data do Caixa Realizado]]=""),"Vencida","Não vencida")</f>
        <v>Não vencida</v>
      </c>
    </row>
    <row r="199" spans="2:17" x14ac:dyDescent="0.25">
      <c r="B199" s="13">
        <v>43590.006789576961</v>
      </c>
      <c r="C199" s="13">
        <v>43527</v>
      </c>
      <c r="D199" s="13">
        <v>43527</v>
      </c>
      <c r="E199" s="14" t="s">
        <v>0</v>
      </c>
      <c r="F199" s="14" t="s">
        <v>3</v>
      </c>
      <c r="G199" s="14" t="s">
        <v>275</v>
      </c>
      <c r="H199" s="15">
        <v>517</v>
      </c>
      <c r="I199" s="14">
        <f>IF(TbRegistroEntradas[[#This Row],[Data do Caixa Realizado]]="",0,MONTH(TbRegistroEntradas[[#This Row],[Data do Caixa Realizado]]))</f>
        <v>5</v>
      </c>
      <c r="J199" s="14">
        <f>IF(TbRegistroEntradas[[#This Row],[Data do Caixa Realizado]]="",0,YEAR(TbRegistroEntradas[[#This Row],[Data do Caixa Realizado]]))</f>
        <v>2019</v>
      </c>
      <c r="K199" s="14">
        <f>IF(TbRegistroEntradas[[#This Row],[Data da Competência]]="",0,MONTH(TbRegistroEntradas[[#This Row],[Data da Competência]]))</f>
        <v>3</v>
      </c>
      <c r="L199" s="14">
        <f>IF(TbRegistroEntradas[[#This Row],[Data da Competência]]="",0,YEAR(TbRegistroEntradas[[#This Row],[Data da Competência]]))</f>
        <v>2019</v>
      </c>
      <c r="M199" s="14">
        <f>IF(TbRegistroEntradas[[#This Row],[Data do Caixa Previsto]]="",0,MONTH(TbRegistroEntradas[[#This Row],[Data do Caixa Previsto]]))</f>
        <v>3</v>
      </c>
      <c r="N199" s="14">
        <f>IF(TbRegistroEntradas[[#This Row],[Data do Caixa Previsto]]="",0,YEAR(TbRegistroEntradas[[#This Row],[Data do Caixa Previsto]]))</f>
        <v>2019</v>
      </c>
      <c r="O199" s="14" t="str">
        <f>IF(TbRegistroEntradas[[#This Row],[Data da Competência]]=TbRegistroEntradas[[#This Row],[Data do Caixa Previsto]],"Vista","Prazo")</f>
        <v>Vista</v>
      </c>
      <c r="P19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63.006789576960728</v>
      </c>
      <c r="Q199" s="14" t="str">
        <f ca="1">IF(AND(TbRegistroEntradas[[#This Row],[Data do Caixa Previsto]]&lt;TODAY(),TbRegistroEntradas[[#This Row],[Data do Caixa Realizado]]=""),"Vencida","Não vencida")</f>
        <v>Não vencida</v>
      </c>
    </row>
    <row r="200" spans="2:17" x14ac:dyDescent="0.25">
      <c r="B200" s="13">
        <v>43563.221434488092</v>
      </c>
      <c r="C200" s="13">
        <v>43534</v>
      </c>
      <c r="D200" s="13">
        <v>43563.221434488092</v>
      </c>
      <c r="E200" s="14" t="s">
        <v>0</v>
      </c>
      <c r="F200" s="14" t="s">
        <v>3</v>
      </c>
      <c r="G200" s="14" t="s">
        <v>276</v>
      </c>
      <c r="H200" s="15">
        <v>3034</v>
      </c>
      <c r="I200" s="14">
        <f>IF(TbRegistroEntradas[[#This Row],[Data do Caixa Realizado]]="",0,MONTH(TbRegistroEntradas[[#This Row],[Data do Caixa Realizado]]))</f>
        <v>4</v>
      </c>
      <c r="J200" s="14">
        <f>IF(TbRegistroEntradas[[#This Row],[Data do Caixa Realizado]]="",0,YEAR(TbRegistroEntradas[[#This Row],[Data do Caixa Realizado]]))</f>
        <v>2019</v>
      </c>
      <c r="K200" s="14">
        <f>IF(TbRegistroEntradas[[#This Row],[Data da Competência]]="",0,MONTH(TbRegistroEntradas[[#This Row],[Data da Competência]]))</f>
        <v>3</v>
      </c>
      <c r="L200" s="14">
        <f>IF(TbRegistroEntradas[[#This Row],[Data da Competência]]="",0,YEAR(TbRegistroEntradas[[#This Row],[Data da Competência]]))</f>
        <v>2019</v>
      </c>
      <c r="M200" s="14">
        <f>IF(TbRegistroEntradas[[#This Row],[Data do Caixa Previsto]]="",0,MONTH(TbRegistroEntradas[[#This Row],[Data do Caixa Previsto]]))</f>
        <v>4</v>
      </c>
      <c r="N200" s="14">
        <f>IF(TbRegistroEntradas[[#This Row],[Data do Caixa Previsto]]="",0,YEAR(TbRegistroEntradas[[#This Row],[Data do Caixa Previsto]]))</f>
        <v>2019</v>
      </c>
      <c r="O200" s="14" t="str">
        <f>IF(TbRegistroEntradas[[#This Row],[Data da Competência]]=TbRegistroEntradas[[#This Row],[Data do Caixa Previsto]],"Vista","Prazo")</f>
        <v>Prazo</v>
      </c>
      <c r="P20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00" s="14" t="str">
        <f ca="1">IF(AND(TbRegistroEntradas[[#This Row],[Data do Caixa Previsto]]&lt;TODAY(),TbRegistroEntradas[[#This Row],[Data do Caixa Realizado]]=""),"Vencida","Não vencida")</f>
        <v>Não vencida</v>
      </c>
    </row>
    <row r="201" spans="2:17" x14ac:dyDescent="0.25">
      <c r="B201" s="13">
        <v>43578.576921560554</v>
      </c>
      <c r="C201" s="13">
        <v>43537</v>
      </c>
      <c r="D201" s="13">
        <v>43578.576921560554</v>
      </c>
      <c r="E201" s="14" t="s">
        <v>0</v>
      </c>
      <c r="F201" s="14" t="s">
        <v>24</v>
      </c>
      <c r="G201" s="14" t="s">
        <v>277</v>
      </c>
      <c r="H201" s="15">
        <v>3172</v>
      </c>
      <c r="I201" s="14">
        <f>IF(TbRegistroEntradas[[#This Row],[Data do Caixa Realizado]]="",0,MONTH(TbRegistroEntradas[[#This Row],[Data do Caixa Realizado]]))</f>
        <v>4</v>
      </c>
      <c r="J201" s="14">
        <f>IF(TbRegistroEntradas[[#This Row],[Data do Caixa Realizado]]="",0,YEAR(TbRegistroEntradas[[#This Row],[Data do Caixa Realizado]]))</f>
        <v>2019</v>
      </c>
      <c r="K201" s="14">
        <f>IF(TbRegistroEntradas[[#This Row],[Data da Competência]]="",0,MONTH(TbRegistroEntradas[[#This Row],[Data da Competência]]))</f>
        <v>3</v>
      </c>
      <c r="L201" s="14">
        <f>IF(TbRegistroEntradas[[#This Row],[Data da Competência]]="",0,YEAR(TbRegistroEntradas[[#This Row],[Data da Competência]]))</f>
        <v>2019</v>
      </c>
      <c r="M201" s="14">
        <f>IF(TbRegistroEntradas[[#This Row],[Data do Caixa Previsto]]="",0,MONTH(TbRegistroEntradas[[#This Row],[Data do Caixa Previsto]]))</f>
        <v>4</v>
      </c>
      <c r="N201" s="14">
        <f>IF(TbRegistroEntradas[[#This Row],[Data do Caixa Previsto]]="",0,YEAR(TbRegistroEntradas[[#This Row],[Data do Caixa Previsto]]))</f>
        <v>2019</v>
      </c>
      <c r="O201" s="14" t="str">
        <f>IF(TbRegistroEntradas[[#This Row],[Data da Competência]]=TbRegistroEntradas[[#This Row],[Data do Caixa Previsto]],"Vista","Prazo")</f>
        <v>Prazo</v>
      </c>
      <c r="P20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01" s="14" t="str">
        <f ca="1">IF(AND(TbRegistroEntradas[[#This Row],[Data do Caixa Previsto]]&lt;TODAY(),TbRegistroEntradas[[#This Row],[Data do Caixa Realizado]]=""),"Vencida","Não vencida")</f>
        <v>Não vencida</v>
      </c>
    </row>
    <row r="202" spans="2:17" x14ac:dyDescent="0.25">
      <c r="B202" s="13">
        <v>43555.68421267363</v>
      </c>
      <c r="C202" s="13">
        <v>43543</v>
      </c>
      <c r="D202" s="13">
        <v>43543</v>
      </c>
      <c r="E202" s="14" t="s">
        <v>0</v>
      </c>
      <c r="F202" s="14" t="s">
        <v>5</v>
      </c>
      <c r="G202" s="14" t="s">
        <v>278</v>
      </c>
      <c r="H202" s="15">
        <v>2069</v>
      </c>
      <c r="I202" s="14">
        <f>IF(TbRegistroEntradas[[#This Row],[Data do Caixa Realizado]]="",0,MONTH(TbRegistroEntradas[[#This Row],[Data do Caixa Realizado]]))</f>
        <v>3</v>
      </c>
      <c r="J202" s="14">
        <f>IF(TbRegistroEntradas[[#This Row],[Data do Caixa Realizado]]="",0,YEAR(TbRegistroEntradas[[#This Row],[Data do Caixa Realizado]]))</f>
        <v>2019</v>
      </c>
      <c r="K202" s="14">
        <f>IF(TbRegistroEntradas[[#This Row],[Data da Competência]]="",0,MONTH(TbRegistroEntradas[[#This Row],[Data da Competência]]))</f>
        <v>3</v>
      </c>
      <c r="L202" s="14">
        <f>IF(TbRegistroEntradas[[#This Row],[Data da Competência]]="",0,YEAR(TbRegistroEntradas[[#This Row],[Data da Competência]]))</f>
        <v>2019</v>
      </c>
      <c r="M202" s="14">
        <f>IF(TbRegistroEntradas[[#This Row],[Data do Caixa Previsto]]="",0,MONTH(TbRegistroEntradas[[#This Row],[Data do Caixa Previsto]]))</f>
        <v>3</v>
      </c>
      <c r="N202" s="14">
        <f>IF(TbRegistroEntradas[[#This Row],[Data do Caixa Previsto]]="",0,YEAR(TbRegistroEntradas[[#This Row],[Data do Caixa Previsto]]))</f>
        <v>2019</v>
      </c>
      <c r="O202" s="14" t="str">
        <f>IF(TbRegistroEntradas[[#This Row],[Data da Competência]]=TbRegistroEntradas[[#This Row],[Data do Caixa Previsto]],"Vista","Prazo")</f>
        <v>Vista</v>
      </c>
      <c r="P20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12.6842126736301</v>
      </c>
      <c r="Q202" s="14" t="str">
        <f ca="1">IF(AND(TbRegistroEntradas[[#This Row],[Data do Caixa Previsto]]&lt;TODAY(),TbRegistroEntradas[[#This Row],[Data do Caixa Realizado]]=""),"Vencida","Não vencida")</f>
        <v>Não vencida</v>
      </c>
    </row>
    <row r="203" spans="2:17" x14ac:dyDescent="0.25">
      <c r="B203" s="13">
        <v>43614.347330751698</v>
      </c>
      <c r="C203" s="13">
        <v>43545</v>
      </c>
      <c r="D203" s="13">
        <v>43545</v>
      </c>
      <c r="E203" s="14" t="s">
        <v>0</v>
      </c>
      <c r="F203" s="14" t="s">
        <v>5</v>
      </c>
      <c r="G203" s="14" t="s">
        <v>279</v>
      </c>
      <c r="H203" s="15">
        <v>3849</v>
      </c>
      <c r="I203" s="14">
        <f>IF(TbRegistroEntradas[[#This Row],[Data do Caixa Realizado]]="",0,MONTH(TbRegistroEntradas[[#This Row],[Data do Caixa Realizado]]))</f>
        <v>5</v>
      </c>
      <c r="J203" s="14">
        <f>IF(TbRegistroEntradas[[#This Row],[Data do Caixa Realizado]]="",0,YEAR(TbRegistroEntradas[[#This Row],[Data do Caixa Realizado]]))</f>
        <v>2019</v>
      </c>
      <c r="K203" s="14">
        <f>IF(TbRegistroEntradas[[#This Row],[Data da Competência]]="",0,MONTH(TbRegistroEntradas[[#This Row],[Data da Competência]]))</f>
        <v>3</v>
      </c>
      <c r="L203" s="14">
        <f>IF(TbRegistroEntradas[[#This Row],[Data da Competência]]="",0,YEAR(TbRegistroEntradas[[#This Row],[Data da Competência]]))</f>
        <v>2019</v>
      </c>
      <c r="M203" s="14">
        <f>IF(TbRegistroEntradas[[#This Row],[Data do Caixa Previsto]]="",0,MONTH(TbRegistroEntradas[[#This Row],[Data do Caixa Previsto]]))</f>
        <v>3</v>
      </c>
      <c r="N203" s="14">
        <f>IF(TbRegistroEntradas[[#This Row],[Data do Caixa Previsto]]="",0,YEAR(TbRegistroEntradas[[#This Row],[Data do Caixa Previsto]]))</f>
        <v>2019</v>
      </c>
      <c r="O203" s="14" t="str">
        <f>IF(TbRegistroEntradas[[#This Row],[Data da Competência]]=TbRegistroEntradas[[#This Row],[Data do Caixa Previsto]],"Vista","Prazo")</f>
        <v>Vista</v>
      </c>
      <c r="P20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69.347330751697882</v>
      </c>
      <c r="Q203" s="14" t="str">
        <f ca="1">IF(AND(TbRegistroEntradas[[#This Row],[Data do Caixa Previsto]]&lt;TODAY(),TbRegistroEntradas[[#This Row],[Data do Caixa Realizado]]=""),"Vencida","Não vencida")</f>
        <v>Não vencida</v>
      </c>
    </row>
    <row r="204" spans="2:17" x14ac:dyDescent="0.25">
      <c r="B204" s="13">
        <v>43622.661194715285</v>
      </c>
      <c r="C204" s="13">
        <v>43551</v>
      </c>
      <c r="D204" s="13">
        <v>43586.046958916726</v>
      </c>
      <c r="E204" s="14" t="s">
        <v>0</v>
      </c>
      <c r="F204" s="14" t="s">
        <v>49</v>
      </c>
      <c r="G204" s="14" t="s">
        <v>280</v>
      </c>
      <c r="H204" s="15">
        <v>4141</v>
      </c>
      <c r="I204" s="14">
        <f>IF(TbRegistroEntradas[[#This Row],[Data do Caixa Realizado]]="",0,MONTH(TbRegistroEntradas[[#This Row],[Data do Caixa Realizado]]))</f>
        <v>6</v>
      </c>
      <c r="J204" s="14">
        <f>IF(TbRegistroEntradas[[#This Row],[Data do Caixa Realizado]]="",0,YEAR(TbRegistroEntradas[[#This Row],[Data do Caixa Realizado]]))</f>
        <v>2019</v>
      </c>
      <c r="K204" s="14">
        <f>IF(TbRegistroEntradas[[#This Row],[Data da Competência]]="",0,MONTH(TbRegistroEntradas[[#This Row],[Data da Competência]]))</f>
        <v>3</v>
      </c>
      <c r="L204" s="14">
        <f>IF(TbRegistroEntradas[[#This Row],[Data da Competência]]="",0,YEAR(TbRegistroEntradas[[#This Row],[Data da Competência]]))</f>
        <v>2019</v>
      </c>
      <c r="M204" s="14">
        <f>IF(TbRegistroEntradas[[#This Row],[Data do Caixa Previsto]]="",0,MONTH(TbRegistroEntradas[[#This Row],[Data do Caixa Previsto]]))</f>
        <v>5</v>
      </c>
      <c r="N204" s="14">
        <f>IF(TbRegistroEntradas[[#This Row],[Data do Caixa Previsto]]="",0,YEAR(TbRegistroEntradas[[#This Row],[Data do Caixa Previsto]]))</f>
        <v>2019</v>
      </c>
      <c r="O204" s="14" t="str">
        <f>IF(TbRegistroEntradas[[#This Row],[Data da Competência]]=TbRegistroEntradas[[#This Row],[Data do Caixa Previsto]],"Vista","Prazo")</f>
        <v>Prazo</v>
      </c>
      <c r="P20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36.614235798559093</v>
      </c>
      <c r="Q204" s="14" t="str">
        <f ca="1">IF(AND(TbRegistroEntradas[[#This Row],[Data do Caixa Previsto]]&lt;TODAY(),TbRegistroEntradas[[#This Row],[Data do Caixa Realizado]]=""),"Vencida","Não vencida")</f>
        <v>Não vencida</v>
      </c>
    </row>
    <row r="205" spans="2:17" x14ac:dyDescent="0.25">
      <c r="B205" s="13" t="s">
        <v>92</v>
      </c>
      <c r="C205" s="13">
        <v>43552</v>
      </c>
      <c r="D205" s="13">
        <v>43586.891175257784</v>
      </c>
      <c r="E205" s="14" t="s">
        <v>0</v>
      </c>
      <c r="F205" s="14" t="s">
        <v>49</v>
      </c>
      <c r="G205" s="14" t="s">
        <v>281</v>
      </c>
      <c r="H205" s="15">
        <v>1348</v>
      </c>
      <c r="I205" s="14">
        <f>IF(TbRegistroEntradas[[#This Row],[Data do Caixa Realizado]]="",0,MONTH(TbRegistroEntradas[[#This Row],[Data do Caixa Realizado]]))</f>
        <v>0</v>
      </c>
      <c r="J205" s="14">
        <f>IF(TbRegistroEntradas[[#This Row],[Data do Caixa Realizado]]="",0,YEAR(TbRegistroEntradas[[#This Row],[Data do Caixa Realizado]]))</f>
        <v>0</v>
      </c>
      <c r="K205" s="14">
        <f>IF(TbRegistroEntradas[[#This Row],[Data da Competência]]="",0,MONTH(TbRegistroEntradas[[#This Row],[Data da Competência]]))</f>
        <v>3</v>
      </c>
      <c r="L205" s="14">
        <f>IF(TbRegistroEntradas[[#This Row],[Data da Competência]]="",0,YEAR(TbRegistroEntradas[[#This Row],[Data da Competência]]))</f>
        <v>2019</v>
      </c>
      <c r="M205" s="14">
        <f>IF(TbRegistroEntradas[[#This Row],[Data do Caixa Previsto]]="",0,MONTH(TbRegistroEntradas[[#This Row],[Data do Caixa Previsto]]))</f>
        <v>5</v>
      </c>
      <c r="N205" s="14">
        <f>IF(TbRegistroEntradas[[#This Row],[Data do Caixa Previsto]]="",0,YEAR(TbRegistroEntradas[[#This Row],[Data do Caixa Previsto]]))</f>
        <v>2019</v>
      </c>
      <c r="O205" s="14" t="str">
        <f>IF(TbRegistroEntradas[[#This Row],[Data da Competência]]=TbRegistroEntradas[[#This Row],[Data do Caixa Previsto]],"Vista","Prazo")</f>
        <v>Prazo</v>
      </c>
      <c r="P20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1807.1088247422158</v>
      </c>
      <c r="Q205" s="14" t="str">
        <f ca="1">IF(AND(TbRegistroEntradas[[#This Row],[Data do Caixa Previsto]]&lt;TODAY(),TbRegistroEntradas[[#This Row],[Data do Caixa Realizado]]=""),"Vencida","Não vencida")</f>
        <v>Vencida</v>
      </c>
    </row>
    <row r="206" spans="2:17" x14ac:dyDescent="0.25">
      <c r="B206" s="13">
        <v>43579.560843489548</v>
      </c>
      <c r="C206" s="13">
        <v>43558</v>
      </c>
      <c r="D206" s="13">
        <v>43558</v>
      </c>
      <c r="E206" s="14" t="s">
        <v>0</v>
      </c>
      <c r="F206" s="14" t="s">
        <v>24</v>
      </c>
      <c r="G206" s="14" t="s">
        <v>282</v>
      </c>
      <c r="H206" s="15">
        <v>1738</v>
      </c>
      <c r="I206" s="14">
        <f>IF(TbRegistroEntradas[[#This Row],[Data do Caixa Realizado]]="",0,MONTH(TbRegistroEntradas[[#This Row],[Data do Caixa Realizado]]))</f>
        <v>4</v>
      </c>
      <c r="J206" s="14">
        <f>IF(TbRegistroEntradas[[#This Row],[Data do Caixa Realizado]]="",0,YEAR(TbRegistroEntradas[[#This Row],[Data do Caixa Realizado]]))</f>
        <v>2019</v>
      </c>
      <c r="K206" s="14">
        <f>IF(TbRegistroEntradas[[#This Row],[Data da Competência]]="",0,MONTH(TbRegistroEntradas[[#This Row],[Data da Competência]]))</f>
        <v>4</v>
      </c>
      <c r="L206" s="14">
        <f>IF(TbRegistroEntradas[[#This Row],[Data da Competência]]="",0,YEAR(TbRegistroEntradas[[#This Row],[Data da Competência]]))</f>
        <v>2019</v>
      </c>
      <c r="M206" s="14">
        <f>IF(TbRegistroEntradas[[#This Row],[Data do Caixa Previsto]]="",0,MONTH(TbRegistroEntradas[[#This Row],[Data do Caixa Previsto]]))</f>
        <v>4</v>
      </c>
      <c r="N206" s="14">
        <f>IF(TbRegistroEntradas[[#This Row],[Data do Caixa Previsto]]="",0,YEAR(TbRegistroEntradas[[#This Row],[Data do Caixa Previsto]]))</f>
        <v>2019</v>
      </c>
      <c r="O206" s="14" t="str">
        <f>IF(TbRegistroEntradas[[#This Row],[Data da Competência]]=TbRegistroEntradas[[#This Row],[Data do Caixa Previsto]],"Vista","Prazo")</f>
        <v>Vista</v>
      </c>
      <c r="P20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21.560843489547551</v>
      </c>
      <c r="Q206" s="14" t="str">
        <f ca="1">IF(AND(TbRegistroEntradas[[#This Row],[Data do Caixa Previsto]]&lt;TODAY(),TbRegistroEntradas[[#This Row],[Data do Caixa Realizado]]=""),"Vencida","Não vencida")</f>
        <v>Não vencida</v>
      </c>
    </row>
    <row r="207" spans="2:17" x14ac:dyDescent="0.25">
      <c r="B207" s="13">
        <v>43616.927767605004</v>
      </c>
      <c r="C207" s="13">
        <v>43561</v>
      </c>
      <c r="D207" s="13">
        <v>43561</v>
      </c>
      <c r="E207" s="14" t="s">
        <v>0</v>
      </c>
      <c r="F207" s="14" t="s">
        <v>24</v>
      </c>
      <c r="G207" s="14" t="s">
        <v>283</v>
      </c>
      <c r="H207" s="15">
        <v>732</v>
      </c>
      <c r="I207" s="14">
        <f>IF(TbRegistroEntradas[[#This Row],[Data do Caixa Realizado]]="",0,MONTH(TbRegistroEntradas[[#This Row],[Data do Caixa Realizado]]))</f>
        <v>5</v>
      </c>
      <c r="J207" s="14">
        <f>IF(TbRegistroEntradas[[#This Row],[Data do Caixa Realizado]]="",0,YEAR(TbRegistroEntradas[[#This Row],[Data do Caixa Realizado]]))</f>
        <v>2019</v>
      </c>
      <c r="K207" s="14">
        <f>IF(TbRegistroEntradas[[#This Row],[Data da Competência]]="",0,MONTH(TbRegistroEntradas[[#This Row],[Data da Competência]]))</f>
        <v>4</v>
      </c>
      <c r="L207" s="14">
        <f>IF(TbRegistroEntradas[[#This Row],[Data da Competência]]="",0,YEAR(TbRegistroEntradas[[#This Row],[Data da Competência]]))</f>
        <v>2019</v>
      </c>
      <c r="M207" s="14">
        <f>IF(TbRegistroEntradas[[#This Row],[Data do Caixa Previsto]]="",0,MONTH(TbRegistroEntradas[[#This Row],[Data do Caixa Previsto]]))</f>
        <v>4</v>
      </c>
      <c r="N207" s="14">
        <f>IF(TbRegistroEntradas[[#This Row],[Data do Caixa Previsto]]="",0,YEAR(TbRegistroEntradas[[#This Row],[Data do Caixa Previsto]]))</f>
        <v>2019</v>
      </c>
      <c r="O207" s="14" t="str">
        <f>IF(TbRegistroEntradas[[#This Row],[Data da Competência]]=TbRegistroEntradas[[#This Row],[Data do Caixa Previsto]],"Vista","Prazo")</f>
        <v>Vista</v>
      </c>
      <c r="P20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55.927767605004192</v>
      </c>
      <c r="Q207" s="14" t="str">
        <f ca="1">IF(AND(TbRegistroEntradas[[#This Row],[Data do Caixa Previsto]]&lt;TODAY(),TbRegistroEntradas[[#This Row],[Data do Caixa Realizado]]=""),"Vencida","Não vencida")</f>
        <v>Não vencida</v>
      </c>
    </row>
    <row r="208" spans="2:17" x14ac:dyDescent="0.25">
      <c r="B208" s="13">
        <v>43625.82552449884</v>
      </c>
      <c r="C208" s="13">
        <v>43562</v>
      </c>
      <c r="D208" s="13">
        <v>43586.693447907084</v>
      </c>
      <c r="E208" s="14" t="s">
        <v>0</v>
      </c>
      <c r="F208" s="14" t="s">
        <v>49</v>
      </c>
      <c r="G208" s="14" t="s">
        <v>284</v>
      </c>
      <c r="H208" s="15">
        <v>373</v>
      </c>
      <c r="I208" s="14">
        <f>IF(TbRegistroEntradas[[#This Row],[Data do Caixa Realizado]]="",0,MONTH(TbRegistroEntradas[[#This Row],[Data do Caixa Realizado]]))</f>
        <v>6</v>
      </c>
      <c r="J208" s="14">
        <f>IF(TbRegistroEntradas[[#This Row],[Data do Caixa Realizado]]="",0,YEAR(TbRegistroEntradas[[#This Row],[Data do Caixa Realizado]]))</f>
        <v>2019</v>
      </c>
      <c r="K208" s="14">
        <f>IF(TbRegistroEntradas[[#This Row],[Data da Competência]]="",0,MONTH(TbRegistroEntradas[[#This Row],[Data da Competência]]))</f>
        <v>4</v>
      </c>
      <c r="L208" s="14">
        <f>IF(TbRegistroEntradas[[#This Row],[Data da Competência]]="",0,YEAR(TbRegistroEntradas[[#This Row],[Data da Competência]]))</f>
        <v>2019</v>
      </c>
      <c r="M208" s="14">
        <f>IF(TbRegistroEntradas[[#This Row],[Data do Caixa Previsto]]="",0,MONTH(TbRegistroEntradas[[#This Row],[Data do Caixa Previsto]]))</f>
        <v>5</v>
      </c>
      <c r="N208" s="14">
        <f>IF(TbRegistroEntradas[[#This Row],[Data do Caixa Previsto]]="",0,YEAR(TbRegistroEntradas[[#This Row],[Data do Caixa Previsto]]))</f>
        <v>2019</v>
      </c>
      <c r="O208" s="14" t="str">
        <f>IF(TbRegistroEntradas[[#This Row],[Data da Competência]]=TbRegistroEntradas[[#This Row],[Data do Caixa Previsto]],"Vista","Prazo")</f>
        <v>Prazo</v>
      </c>
      <c r="P20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39.132076591755322</v>
      </c>
      <c r="Q208" s="14" t="str">
        <f ca="1">IF(AND(TbRegistroEntradas[[#This Row],[Data do Caixa Previsto]]&lt;TODAY(),TbRegistroEntradas[[#This Row],[Data do Caixa Realizado]]=""),"Vencida","Não vencida")</f>
        <v>Não vencida</v>
      </c>
    </row>
    <row r="209" spans="2:17" x14ac:dyDescent="0.25">
      <c r="B209" s="13">
        <v>43680.092544285042</v>
      </c>
      <c r="C209" s="13">
        <v>43564</v>
      </c>
      <c r="D209" s="13">
        <v>43609.201502582175</v>
      </c>
      <c r="E209" s="14" t="s">
        <v>0</v>
      </c>
      <c r="F209" s="14" t="s">
        <v>3</v>
      </c>
      <c r="G209" s="14" t="s">
        <v>285</v>
      </c>
      <c r="H209" s="15">
        <v>609</v>
      </c>
      <c r="I209" s="14">
        <f>IF(TbRegistroEntradas[[#This Row],[Data do Caixa Realizado]]="",0,MONTH(TbRegistroEntradas[[#This Row],[Data do Caixa Realizado]]))</f>
        <v>8</v>
      </c>
      <c r="J209" s="14">
        <f>IF(TbRegistroEntradas[[#This Row],[Data do Caixa Realizado]]="",0,YEAR(TbRegistroEntradas[[#This Row],[Data do Caixa Realizado]]))</f>
        <v>2019</v>
      </c>
      <c r="K209" s="14">
        <f>IF(TbRegistroEntradas[[#This Row],[Data da Competência]]="",0,MONTH(TbRegistroEntradas[[#This Row],[Data da Competência]]))</f>
        <v>4</v>
      </c>
      <c r="L209" s="14">
        <f>IF(TbRegistroEntradas[[#This Row],[Data da Competência]]="",0,YEAR(TbRegistroEntradas[[#This Row],[Data da Competência]]))</f>
        <v>2019</v>
      </c>
      <c r="M209" s="14">
        <f>IF(TbRegistroEntradas[[#This Row],[Data do Caixa Previsto]]="",0,MONTH(TbRegistroEntradas[[#This Row],[Data do Caixa Previsto]]))</f>
        <v>5</v>
      </c>
      <c r="N209" s="14">
        <f>IF(TbRegistroEntradas[[#This Row],[Data do Caixa Previsto]]="",0,YEAR(TbRegistroEntradas[[#This Row],[Data do Caixa Previsto]]))</f>
        <v>2019</v>
      </c>
      <c r="O209" s="14" t="str">
        <f>IF(TbRegistroEntradas[[#This Row],[Data da Competência]]=TbRegistroEntradas[[#This Row],[Data do Caixa Previsto]],"Vista","Prazo")</f>
        <v>Prazo</v>
      </c>
      <c r="P20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70.891041702867369</v>
      </c>
      <c r="Q209" s="14" t="str">
        <f ca="1">IF(AND(TbRegistroEntradas[[#This Row],[Data do Caixa Previsto]]&lt;TODAY(),TbRegistroEntradas[[#This Row],[Data do Caixa Realizado]]=""),"Vencida","Não vencida")</f>
        <v>Não vencida</v>
      </c>
    </row>
    <row r="210" spans="2:17" x14ac:dyDescent="0.25">
      <c r="B210" s="13">
        <v>43615.075827004257</v>
      </c>
      <c r="C210" s="13">
        <v>43567</v>
      </c>
      <c r="D210" s="13">
        <v>43615.075827004257</v>
      </c>
      <c r="E210" s="14" t="s">
        <v>0</v>
      </c>
      <c r="F210" s="14" t="s">
        <v>24</v>
      </c>
      <c r="G210" s="14" t="s">
        <v>286</v>
      </c>
      <c r="H210" s="15">
        <v>2883</v>
      </c>
      <c r="I210" s="14">
        <f>IF(TbRegistroEntradas[[#This Row],[Data do Caixa Realizado]]="",0,MONTH(TbRegistroEntradas[[#This Row],[Data do Caixa Realizado]]))</f>
        <v>5</v>
      </c>
      <c r="J210" s="14">
        <f>IF(TbRegistroEntradas[[#This Row],[Data do Caixa Realizado]]="",0,YEAR(TbRegistroEntradas[[#This Row],[Data do Caixa Realizado]]))</f>
        <v>2019</v>
      </c>
      <c r="K210" s="14">
        <f>IF(TbRegistroEntradas[[#This Row],[Data da Competência]]="",0,MONTH(TbRegistroEntradas[[#This Row],[Data da Competência]]))</f>
        <v>4</v>
      </c>
      <c r="L210" s="14">
        <f>IF(TbRegistroEntradas[[#This Row],[Data da Competência]]="",0,YEAR(TbRegistroEntradas[[#This Row],[Data da Competência]]))</f>
        <v>2019</v>
      </c>
      <c r="M210" s="14">
        <f>IF(TbRegistroEntradas[[#This Row],[Data do Caixa Previsto]]="",0,MONTH(TbRegistroEntradas[[#This Row],[Data do Caixa Previsto]]))</f>
        <v>5</v>
      </c>
      <c r="N210" s="14">
        <f>IF(TbRegistroEntradas[[#This Row],[Data do Caixa Previsto]]="",0,YEAR(TbRegistroEntradas[[#This Row],[Data do Caixa Previsto]]))</f>
        <v>2019</v>
      </c>
      <c r="O210" s="14" t="str">
        <f>IF(TbRegistroEntradas[[#This Row],[Data da Competência]]=TbRegistroEntradas[[#This Row],[Data do Caixa Previsto]],"Vista","Prazo")</f>
        <v>Prazo</v>
      </c>
      <c r="P21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0" s="14" t="str">
        <f ca="1">IF(AND(TbRegistroEntradas[[#This Row],[Data do Caixa Previsto]]&lt;TODAY(),TbRegistroEntradas[[#This Row],[Data do Caixa Realizado]]=""),"Vencida","Não vencida")</f>
        <v>Não vencida</v>
      </c>
    </row>
    <row r="211" spans="2:17" x14ac:dyDescent="0.25">
      <c r="B211" s="13">
        <v>43570.769485626974</v>
      </c>
      <c r="C211" s="13">
        <v>43569</v>
      </c>
      <c r="D211" s="13">
        <v>43569</v>
      </c>
      <c r="E211" s="14" t="s">
        <v>0</v>
      </c>
      <c r="F211" s="14" t="s">
        <v>3</v>
      </c>
      <c r="G211" s="14" t="s">
        <v>287</v>
      </c>
      <c r="H211" s="15">
        <v>4651</v>
      </c>
      <c r="I211" s="14">
        <f>IF(TbRegistroEntradas[[#This Row],[Data do Caixa Realizado]]="",0,MONTH(TbRegistroEntradas[[#This Row],[Data do Caixa Realizado]]))</f>
        <v>4</v>
      </c>
      <c r="J211" s="14">
        <f>IF(TbRegistroEntradas[[#This Row],[Data do Caixa Realizado]]="",0,YEAR(TbRegistroEntradas[[#This Row],[Data do Caixa Realizado]]))</f>
        <v>2019</v>
      </c>
      <c r="K211" s="14">
        <f>IF(TbRegistroEntradas[[#This Row],[Data da Competência]]="",0,MONTH(TbRegistroEntradas[[#This Row],[Data da Competência]]))</f>
        <v>4</v>
      </c>
      <c r="L211" s="14">
        <f>IF(TbRegistroEntradas[[#This Row],[Data da Competência]]="",0,YEAR(TbRegistroEntradas[[#This Row],[Data da Competência]]))</f>
        <v>2019</v>
      </c>
      <c r="M211" s="14">
        <f>IF(TbRegistroEntradas[[#This Row],[Data do Caixa Previsto]]="",0,MONTH(TbRegistroEntradas[[#This Row],[Data do Caixa Previsto]]))</f>
        <v>4</v>
      </c>
      <c r="N211" s="14">
        <f>IF(TbRegistroEntradas[[#This Row],[Data do Caixa Previsto]]="",0,YEAR(TbRegistroEntradas[[#This Row],[Data do Caixa Previsto]]))</f>
        <v>2019</v>
      </c>
      <c r="O211" s="14" t="str">
        <f>IF(TbRegistroEntradas[[#This Row],[Data da Competência]]=TbRegistroEntradas[[#This Row],[Data do Caixa Previsto]],"Vista","Prazo")</f>
        <v>Vista</v>
      </c>
      <c r="P21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1.7694856269736192</v>
      </c>
      <c r="Q211" s="14" t="str">
        <f ca="1">IF(AND(TbRegistroEntradas[[#This Row],[Data do Caixa Previsto]]&lt;TODAY(),TbRegistroEntradas[[#This Row],[Data do Caixa Realizado]]=""),"Vencida","Não vencida")</f>
        <v>Não vencida</v>
      </c>
    </row>
    <row r="212" spans="2:17" x14ac:dyDescent="0.25">
      <c r="B212" s="13">
        <v>43579.931861207129</v>
      </c>
      <c r="C212" s="13">
        <v>43573</v>
      </c>
      <c r="D212" s="13">
        <v>43579.931861207129</v>
      </c>
      <c r="E212" s="14" t="s">
        <v>0</v>
      </c>
      <c r="F212" s="14" t="s">
        <v>3</v>
      </c>
      <c r="G212" s="14" t="s">
        <v>288</v>
      </c>
      <c r="H212" s="15">
        <v>4797</v>
      </c>
      <c r="I212" s="14">
        <f>IF(TbRegistroEntradas[[#This Row],[Data do Caixa Realizado]]="",0,MONTH(TbRegistroEntradas[[#This Row],[Data do Caixa Realizado]]))</f>
        <v>4</v>
      </c>
      <c r="J212" s="14">
        <f>IF(TbRegistroEntradas[[#This Row],[Data do Caixa Realizado]]="",0,YEAR(TbRegistroEntradas[[#This Row],[Data do Caixa Realizado]]))</f>
        <v>2019</v>
      </c>
      <c r="K212" s="14">
        <f>IF(TbRegistroEntradas[[#This Row],[Data da Competência]]="",0,MONTH(TbRegistroEntradas[[#This Row],[Data da Competência]]))</f>
        <v>4</v>
      </c>
      <c r="L212" s="14">
        <f>IF(TbRegistroEntradas[[#This Row],[Data da Competência]]="",0,YEAR(TbRegistroEntradas[[#This Row],[Data da Competência]]))</f>
        <v>2019</v>
      </c>
      <c r="M212" s="14">
        <f>IF(TbRegistroEntradas[[#This Row],[Data do Caixa Previsto]]="",0,MONTH(TbRegistroEntradas[[#This Row],[Data do Caixa Previsto]]))</f>
        <v>4</v>
      </c>
      <c r="N212" s="14">
        <f>IF(TbRegistroEntradas[[#This Row],[Data do Caixa Previsto]]="",0,YEAR(TbRegistroEntradas[[#This Row],[Data do Caixa Previsto]]))</f>
        <v>2019</v>
      </c>
      <c r="O212" s="14" t="str">
        <f>IF(TbRegistroEntradas[[#This Row],[Data da Competência]]=TbRegistroEntradas[[#This Row],[Data do Caixa Previsto]],"Vista","Prazo")</f>
        <v>Prazo</v>
      </c>
      <c r="P21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2" s="14" t="str">
        <f ca="1">IF(AND(TbRegistroEntradas[[#This Row],[Data do Caixa Previsto]]&lt;TODAY(),TbRegistroEntradas[[#This Row],[Data do Caixa Realizado]]=""),"Vencida","Não vencida")</f>
        <v>Não vencida</v>
      </c>
    </row>
    <row r="213" spans="2:17" x14ac:dyDescent="0.25">
      <c r="B213" s="13">
        <v>43598.937055888804</v>
      </c>
      <c r="C213" s="13">
        <v>43575</v>
      </c>
      <c r="D213" s="13">
        <v>43598.937055888804</v>
      </c>
      <c r="E213" s="14" t="s">
        <v>0</v>
      </c>
      <c r="F213" s="14" t="s">
        <v>5</v>
      </c>
      <c r="G213" s="14" t="s">
        <v>289</v>
      </c>
      <c r="H213" s="15">
        <v>1620</v>
      </c>
      <c r="I213" s="14">
        <f>IF(TbRegistroEntradas[[#This Row],[Data do Caixa Realizado]]="",0,MONTH(TbRegistroEntradas[[#This Row],[Data do Caixa Realizado]]))</f>
        <v>5</v>
      </c>
      <c r="J213" s="14">
        <f>IF(TbRegistroEntradas[[#This Row],[Data do Caixa Realizado]]="",0,YEAR(TbRegistroEntradas[[#This Row],[Data do Caixa Realizado]]))</f>
        <v>2019</v>
      </c>
      <c r="K213" s="14">
        <f>IF(TbRegistroEntradas[[#This Row],[Data da Competência]]="",0,MONTH(TbRegistroEntradas[[#This Row],[Data da Competência]]))</f>
        <v>4</v>
      </c>
      <c r="L213" s="14">
        <f>IF(TbRegistroEntradas[[#This Row],[Data da Competência]]="",0,YEAR(TbRegistroEntradas[[#This Row],[Data da Competência]]))</f>
        <v>2019</v>
      </c>
      <c r="M213" s="14">
        <f>IF(TbRegistroEntradas[[#This Row],[Data do Caixa Previsto]]="",0,MONTH(TbRegistroEntradas[[#This Row],[Data do Caixa Previsto]]))</f>
        <v>5</v>
      </c>
      <c r="N213" s="14">
        <f>IF(TbRegistroEntradas[[#This Row],[Data do Caixa Previsto]]="",0,YEAR(TbRegistroEntradas[[#This Row],[Data do Caixa Previsto]]))</f>
        <v>2019</v>
      </c>
      <c r="O213" s="14" t="str">
        <f>IF(TbRegistroEntradas[[#This Row],[Data da Competência]]=TbRegistroEntradas[[#This Row],[Data do Caixa Previsto]],"Vista","Prazo")</f>
        <v>Prazo</v>
      </c>
      <c r="P21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3" s="14" t="str">
        <f ca="1">IF(AND(TbRegistroEntradas[[#This Row],[Data do Caixa Previsto]]&lt;TODAY(),TbRegistroEntradas[[#This Row],[Data do Caixa Realizado]]=""),"Vencida","Não vencida")</f>
        <v>Não vencida</v>
      </c>
    </row>
    <row r="214" spans="2:17" x14ac:dyDescent="0.25">
      <c r="B214" s="13">
        <v>43625.868579479997</v>
      </c>
      <c r="C214" s="13">
        <v>43582</v>
      </c>
      <c r="D214" s="13">
        <v>43625.868579479997</v>
      </c>
      <c r="E214" s="14" t="s">
        <v>0</v>
      </c>
      <c r="F214" s="14" t="s">
        <v>49</v>
      </c>
      <c r="G214" s="14" t="s">
        <v>290</v>
      </c>
      <c r="H214" s="15">
        <v>245</v>
      </c>
      <c r="I214" s="14">
        <f>IF(TbRegistroEntradas[[#This Row],[Data do Caixa Realizado]]="",0,MONTH(TbRegistroEntradas[[#This Row],[Data do Caixa Realizado]]))</f>
        <v>6</v>
      </c>
      <c r="J214" s="14">
        <f>IF(TbRegistroEntradas[[#This Row],[Data do Caixa Realizado]]="",0,YEAR(TbRegistroEntradas[[#This Row],[Data do Caixa Realizado]]))</f>
        <v>2019</v>
      </c>
      <c r="K214" s="14">
        <f>IF(TbRegistroEntradas[[#This Row],[Data da Competência]]="",0,MONTH(TbRegistroEntradas[[#This Row],[Data da Competência]]))</f>
        <v>4</v>
      </c>
      <c r="L214" s="14">
        <f>IF(TbRegistroEntradas[[#This Row],[Data da Competência]]="",0,YEAR(TbRegistroEntradas[[#This Row],[Data da Competência]]))</f>
        <v>2019</v>
      </c>
      <c r="M214" s="14">
        <f>IF(TbRegistroEntradas[[#This Row],[Data do Caixa Previsto]]="",0,MONTH(TbRegistroEntradas[[#This Row],[Data do Caixa Previsto]]))</f>
        <v>6</v>
      </c>
      <c r="N214" s="14">
        <f>IF(TbRegistroEntradas[[#This Row],[Data do Caixa Previsto]]="",0,YEAR(TbRegistroEntradas[[#This Row],[Data do Caixa Previsto]]))</f>
        <v>2019</v>
      </c>
      <c r="O214" s="14" t="str">
        <f>IF(TbRegistroEntradas[[#This Row],[Data da Competência]]=TbRegistroEntradas[[#This Row],[Data do Caixa Previsto]],"Vista","Prazo")</f>
        <v>Prazo</v>
      </c>
      <c r="P21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4" s="14" t="str">
        <f ca="1">IF(AND(TbRegistroEntradas[[#This Row],[Data do Caixa Previsto]]&lt;TODAY(),TbRegistroEntradas[[#This Row],[Data do Caixa Realizado]]=""),"Vencida","Não vencida")</f>
        <v>Não vencida</v>
      </c>
    </row>
    <row r="215" spans="2:17" x14ac:dyDescent="0.25">
      <c r="B215" s="13">
        <v>43595.986786318994</v>
      </c>
      <c r="C215" s="13">
        <v>43584</v>
      </c>
      <c r="D215" s="13">
        <v>43595.986786318994</v>
      </c>
      <c r="E215" s="14" t="s">
        <v>0</v>
      </c>
      <c r="F215" s="14" t="s">
        <v>24</v>
      </c>
      <c r="G215" s="14" t="s">
        <v>291</v>
      </c>
      <c r="H215" s="15">
        <v>2091</v>
      </c>
      <c r="I215" s="14">
        <f>IF(TbRegistroEntradas[[#This Row],[Data do Caixa Realizado]]="",0,MONTH(TbRegistroEntradas[[#This Row],[Data do Caixa Realizado]]))</f>
        <v>5</v>
      </c>
      <c r="J215" s="14">
        <f>IF(TbRegistroEntradas[[#This Row],[Data do Caixa Realizado]]="",0,YEAR(TbRegistroEntradas[[#This Row],[Data do Caixa Realizado]]))</f>
        <v>2019</v>
      </c>
      <c r="K215" s="14">
        <f>IF(TbRegistroEntradas[[#This Row],[Data da Competência]]="",0,MONTH(TbRegistroEntradas[[#This Row],[Data da Competência]]))</f>
        <v>4</v>
      </c>
      <c r="L215" s="14">
        <f>IF(TbRegistroEntradas[[#This Row],[Data da Competência]]="",0,YEAR(TbRegistroEntradas[[#This Row],[Data da Competência]]))</f>
        <v>2019</v>
      </c>
      <c r="M215" s="14">
        <f>IF(TbRegistroEntradas[[#This Row],[Data do Caixa Previsto]]="",0,MONTH(TbRegistroEntradas[[#This Row],[Data do Caixa Previsto]]))</f>
        <v>5</v>
      </c>
      <c r="N215" s="14">
        <f>IF(TbRegistroEntradas[[#This Row],[Data do Caixa Previsto]]="",0,YEAR(TbRegistroEntradas[[#This Row],[Data do Caixa Previsto]]))</f>
        <v>2019</v>
      </c>
      <c r="O215" s="14" t="str">
        <f>IF(TbRegistroEntradas[[#This Row],[Data da Competência]]=TbRegistroEntradas[[#This Row],[Data do Caixa Previsto]],"Vista","Prazo")</f>
        <v>Prazo</v>
      </c>
      <c r="P21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5" s="14" t="str">
        <f ca="1">IF(AND(TbRegistroEntradas[[#This Row],[Data do Caixa Previsto]]&lt;TODAY(),TbRegistroEntradas[[#This Row],[Data do Caixa Realizado]]=""),"Vencida","Não vencida")</f>
        <v>Não vencida</v>
      </c>
    </row>
    <row r="216" spans="2:17" x14ac:dyDescent="0.25">
      <c r="B216" s="13">
        <v>43594.434933470475</v>
      </c>
      <c r="C216" s="13">
        <v>43585</v>
      </c>
      <c r="D216" s="13">
        <v>43594.434933470475</v>
      </c>
      <c r="E216" s="14" t="s">
        <v>0</v>
      </c>
      <c r="F216" s="14" t="s">
        <v>24</v>
      </c>
      <c r="G216" s="14" t="s">
        <v>292</v>
      </c>
      <c r="H216" s="15">
        <v>3200</v>
      </c>
      <c r="I216" s="14">
        <f>IF(TbRegistroEntradas[[#This Row],[Data do Caixa Realizado]]="",0,MONTH(TbRegistroEntradas[[#This Row],[Data do Caixa Realizado]]))</f>
        <v>5</v>
      </c>
      <c r="J216" s="14">
        <f>IF(TbRegistroEntradas[[#This Row],[Data do Caixa Realizado]]="",0,YEAR(TbRegistroEntradas[[#This Row],[Data do Caixa Realizado]]))</f>
        <v>2019</v>
      </c>
      <c r="K216" s="14">
        <f>IF(TbRegistroEntradas[[#This Row],[Data da Competência]]="",0,MONTH(TbRegistroEntradas[[#This Row],[Data da Competência]]))</f>
        <v>4</v>
      </c>
      <c r="L216" s="14">
        <f>IF(TbRegistroEntradas[[#This Row],[Data da Competência]]="",0,YEAR(TbRegistroEntradas[[#This Row],[Data da Competência]]))</f>
        <v>2019</v>
      </c>
      <c r="M216" s="14">
        <f>IF(TbRegistroEntradas[[#This Row],[Data do Caixa Previsto]]="",0,MONTH(TbRegistroEntradas[[#This Row],[Data do Caixa Previsto]]))</f>
        <v>5</v>
      </c>
      <c r="N216" s="14">
        <f>IF(TbRegistroEntradas[[#This Row],[Data do Caixa Previsto]]="",0,YEAR(TbRegistroEntradas[[#This Row],[Data do Caixa Previsto]]))</f>
        <v>2019</v>
      </c>
      <c r="O216" s="14" t="str">
        <f>IF(TbRegistroEntradas[[#This Row],[Data da Competência]]=TbRegistroEntradas[[#This Row],[Data do Caixa Previsto]],"Vista","Prazo")</f>
        <v>Prazo</v>
      </c>
      <c r="P21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6" s="14" t="str">
        <f ca="1">IF(AND(TbRegistroEntradas[[#This Row],[Data do Caixa Previsto]]&lt;TODAY(),TbRegistroEntradas[[#This Row],[Data do Caixa Realizado]]=""),"Vencida","Não vencida")</f>
        <v>Não vencida</v>
      </c>
    </row>
    <row r="217" spans="2:17" x14ac:dyDescent="0.25">
      <c r="B217" s="13">
        <v>43604.067998386839</v>
      </c>
      <c r="C217" s="13">
        <v>43587</v>
      </c>
      <c r="D217" s="13">
        <v>43587</v>
      </c>
      <c r="E217" s="14" t="s">
        <v>0</v>
      </c>
      <c r="F217" s="14" t="s">
        <v>49</v>
      </c>
      <c r="G217" s="14" t="s">
        <v>293</v>
      </c>
      <c r="H217" s="15">
        <v>583</v>
      </c>
      <c r="I217" s="14">
        <f>IF(TbRegistroEntradas[[#This Row],[Data do Caixa Realizado]]="",0,MONTH(TbRegistroEntradas[[#This Row],[Data do Caixa Realizado]]))</f>
        <v>5</v>
      </c>
      <c r="J217" s="14">
        <f>IF(TbRegistroEntradas[[#This Row],[Data do Caixa Realizado]]="",0,YEAR(TbRegistroEntradas[[#This Row],[Data do Caixa Realizado]]))</f>
        <v>2019</v>
      </c>
      <c r="K217" s="14">
        <f>IF(TbRegistroEntradas[[#This Row],[Data da Competência]]="",0,MONTH(TbRegistroEntradas[[#This Row],[Data da Competência]]))</f>
        <v>5</v>
      </c>
      <c r="L217" s="14">
        <f>IF(TbRegistroEntradas[[#This Row],[Data da Competência]]="",0,YEAR(TbRegistroEntradas[[#This Row],[Data da Competência]]))</f>
        <v>2019</v>
      </c>
      <c r="M217" s="14">
        <f>IF(TbRegistroEntradas[[#This Row],[Data do Caixa Previsto]]="",0,MONTH(TbRegistroEntradas[[#This Row],[Data do Caixa Previsto]]))</f>
        <v>5</v>
      </c>
      <c r="N217" s="14">
        <f>IF(TbRegistroEntradas[[#This Row],[Data do Caixa Previsto]]="",0,YEAR(TbRegistroEntradas[[#This Row],[Data do Caixa Previsto]]))</f>
        <v>2019</v>
      </c>
      <c r="O217" s="14" t="str">
        <f>IF(TbRegistroEntradas[[#This Row],[Data da Competência]]=TbRegistroEntradas[[#This Row],[Data do Caixa Previsto]],"Vista","Prazo")</f>
        <v>Vista</v>
      </c>
      <c r="P21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17.067998386839463</v>
      </c>
      <c r="Q217" s="14" t="str">
        <f ca="1">IF(AND(TbRegistroEntradas[[#This Row],[Data do Caixa Previsto]]&lt;TODAY(),TbRegistroEntradas[[#This Row],[Data do Caixa Realizado]]=""),"Vencida","Não vencida")</f>
        <v>Não vencida</v>
      </c>
    </row>
    <row r="218" spans="2:17" x14ac:dyDescent="0.25">
      <c r="B218" s="13">
        <v>43626.576857263979</v>
      </c>
      <c r="C218" s="13">
        <v>43590</v>
      </c>
      <c r="D218" s="13">
        <v>43626.576857263979</v>
      </c>
      <c r="E218" s="14" t="s">
        <v>0</v>
      </c>
      <c r="F218" s="14" t="s">
        <v>24</v>
      </c>
      <c r="G218" s="14" t="s">
        <v>294</v>
      </c>
      <c r="H218" s="15">
        <v>4505</v>
      </c>
      <c r="I218" s="14">
        <f>IF(TbRegistroEntradas[[#This Row],[Data do Caixa Realizado]]="",0,MONTH(TbRegistroEntradas[[#This Row],[Data do Caixa Realizado]]))</f>
        <v>6</v>
      </c>
      <c r="J218" s="14">
        <f>IF(TbRegistroEntradas[[#This Row],[Data do Caixa Realizado]]="",0,YEAR(TbRegistroEntradas[[#This Row],[Data do Caixa Realizado]]))</f>
        <v>2019</v>
      </c>
      <c r="K218" s="14">
        <f>IF(TbRegistroEntradas[[#This Row],[Data da Competência]]="",0,MONTH(TbRegistroEntradas[[#This Row],[Data da Competência]]))</f>
        <v>5</v>
      </c>
      <c r="L218" s="14">
        <f>IF(TbRegistroEntradas[[#This Row],[Data da Competência]]="",0,YEAR(TbRegistroEntradas[[#This Row],[Data da Competência]]))</f>
        <v>2019</v>
      </c>
      <c r="M218" s="14">
        <f>IF(TbRegistroEntradas[[#This Row],[Data do Caixa Previsto]]="",0,MONTH(TbRegistroEntradas[[#This Row],[Data do Caixa Previsto]]))</f>
        <v>6</v>
      </c>
      <c r="N218" s="14">
        <f>IF(TbRegistroEntradas[[#This Row],[Data do Caixa Previsto]]="",0,YEAR(TbRegistroEntradas[[#This Row],[Data do Caixa Previsto]]))</f>
        <v>2019</v>
      </c>
      <c r="O218" s="14" t="str">
        <f>IF(TbRegistroEntradas[[#This Row],[Data da Competência]]=TbRegistroEntradas[[#This Row],[Data do Caixa Previsto]],"Vista","Prazo")</f>
        <v>Prazo</v>
      </c>
      <c r="P21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8" s="14" t="str">
        <f ca="1">IF(AND(TbRegistroEntradas[[#This Row],[Data do Caixa Previsto]]&lt;TODAY(),TbRegistroEntradas[[#This Row],[Data do Caixa Realizado]]=""),"Vencida","Não vencida")</f>
        <v>Não vencida</v>
      </c>
    </row>
    <row r="219" spans="2:17" x14ac:dyDescent="0.25">
      <c r="B219" s="13">
        <v>43624.539951944804</v>
      </c>
      <c r="C219" s="13">
        <v>43592</v>
      </c>
      <c r="D219" s="13">
        <v>43592</v>
      </c>
      <c r="E219" s="14" t="s">
        <v>0</v>
      </c>
      <c r="F219" s="14" t="s">
        <v>24</v>
      </c>
      <c r="G219" s="14" t="s">
        <v>295</v>
      </c>
      <c r="H219" s="15">
        <v>343</v>
      </c>
      <c r="I219" s="14">
        <f>IF(TbRegistroEntradas[[#This Row],[Data do Caixa Realizado]]="",0,MONTH(TbRegistroEntradas[[#This Row],[Data do Caixa Realizado]]))</f>
        <v>6</v>
      </c>
      <c r="J219" s="14">
        <f>IF(TbRegistroEntradas[[#This Row],[Data do Caixa Realizado]]="",0,YEAR(TbRegistroEntradas[[#This Row],[Data do Caixa Realizado]]))</f>
        <v>2019</v>
      </c>
      <c r="K219" s="14">
        <f>IF(TbRegistroEntradas[[#This Row],[Data da Competência]]="",0,MONTH(TbRegistroEntradas[[#This Row],[Data da Competência]]))</f>
        <v>5</v>
      </c>
      <c r="L219" s="14">
        <f>IF(TbRegistroEntradas[[#This Row],[Data da Competência]]="",0,YEAR(TbRegistroEntradas[[#This Row],[Data da Competência]]))</f>
        <v>2019</v>
      </c>
      <c r="M219" s="14">
        <f>IF(TbRegistroEntradas[[#This Row],[Data do Caixa Previsto]]="",0,MONTH(TbRegistroEntradas[[#This Row],[Data do Caixa Previsto]]))</f>
        <v>5</v>
      </c>
      <c r="N219" s="14">
        <f>IF(TbRegistroEntradas[[#This Row],[Data do Caixa Previsto]]="",0,YEAR(TbRegistroEntradas[[#This Row],[Data do Caixa Previsto]]))</f>
        <v>2019</v>
      </c>
      <c r="O219" s="14" t="str">
        <f>IF(TbRegistroEntradas[[#This Row],[Data da Competência]]=TbRegistroEntradas[[#This Row],[Data do Caixa Previsto]],"Vista","Prazo")</f>
        <v>Vista</v>
      </c>
      <c r="P21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32.539951944803761</v>
      </c>
      <c r="Q219" s="14" t="str">
        <f ca="1">IF(AND(TbRegistroEntradas[[#This Row],[Data do Caixa Previsto]]&lt;TODAY(),TbRegistroEntradas[[#This Row],[Data do Caixa Realizado]]=""),"Vencida","Não vencida")</f>
        <v>Não vencida</v>
      </c>
    </row>
    <row r="220" spans="2:17" x14ac:dyDescent="0.25">
      <c r="B220" s="13">
        <v>43603.679990785502</v>
      </c>
      <c r="C220" s="13">
        <v>43593</v>
      </c>
      <c r="D220" s="13">
        <v>43603.679990785502</v>
      </c>
      <c r="E220" s="14" t="s">
        <v>0</v>
      </c>
      <c r="F220" s="14" t="s">
        <v>3</v>
      </c>
      <c r="G220" s="14" t="s">
        <v>296</v>
      </c>
      <c r="H220" s="15">
        <v>4510</v>
      </c>
      <c r="I220" s="14">
        <f>IF(TbRegistroEntradas[[#This Row],[Data do Caixa Realizado]]="",0,MONTH(TbRegistroEntradas[[#This Row],[Data do Caixa Realizado]]))</f>
        <v>5</v>
      </c>
      <c r="J220" s="14">
        <f>IF(TbRegistroEntradas[[#This Row],[Data do Caixa Realizado]]="",0,YEAR(TbRegistroEntradas[[#This Row],[Data do Caixa Realizado]]))</f>
        <v>2019</v>
      </c>
      <c r="K220" s="14">
        <f>IF(TbRegistroEntradas[[#This Row],[Data da Competência]]="",0,MONTH(TbRegistroEntradas[[#This Row],[Data da Competência]]))</f>
        <v>5</v>
      </c>
      <c r="L220" s="14">
        <f>IF(TbRegistroEntradas[[#This Row],[Data da Competência]]="",0,YEAR(TbRegistroEntradas[[#This Row],[Data da Competência]]))</f>
        <v>2019</v>
      </c>
      <c r="M220" s="14">
        <f>IF(TbRegistroEntradas[[#This Row],[Data do Caixa Previsto]]="",0,MONTH(TbRegistroEntradas[[#This Row],[Data do Caixa Previsto]]))</f>
        <v>5</v>
      </c>
      <c r="N220" s="14">
        <f>IF(TbRegistroEntradas[[#This Row],[Data do Caixa Previsto]]="",0,YEAR(TbRegistroEntradas[[#This Row],[Data do Caixa Previsto]]))</f>
        <v>2019</v>
      </c>
      <c r="O220" s="14" t="str">
        <f>IF(TbRegistroEntradas[[#This Row],[Data da Competência]]=TbRegistroEntradas[[#This Row],[Data do Caixa Previsto]],"Vista","Prazo")</f>
        <v>Prazo</v>
      </c>
      <c r="P22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0" s="14" t="str">
        <f ca="1">IF(AND(TbRegistroEntradas[[#This Row],[Data do Caixa Previsto]]&lt;TODAY(),TbRegistroEntradas[[#This Row],[Data do Caixa Realizado]]=""),"Vencida","Não vencida")</f>
        <v>Não vencida</v>
      </c>
    </row>
    <row r="221" spans="2:17" x14ac:dyDescent="0.25">
      <c r="B221" s="13" t="s">
        <v>92</v>
      </c>
      <c r="C221" s="13">
        <v>43597</v>
      </c>
      <c r="D221" s="13">
        <v>43597</v>
      </c>
      <c r="E221" s="14" t="s">
        <v>0</v>
      </c>
      <c r="F221" s="14" t="s">
        <v>24</v>
      </c>
      <c r="G221" s="14" t="s">
        <v>297</v>
      </c>
      <c r="H221" s="15">
        <v>667</v>
      </c>
      <c r="I221" s="14">
        <f>IF(TbRegistroEntradas[[#This Row],[Data do Caixa Realizado]]="",0,MONTH(TbRegistroEntradas[[#This Row],[Data do Caixa Realizado]]))</f>
        <v>0</v>
      </c>
      <c r="J221" s="14">
        <f>IF(TbRegistroEntradas[[#This Row],[Data do Caixa Realizado]]="",0,YEAR(TbRegistroEntradas[[#This Row],[Data do Caixa Realizado]]))</f>
        <v>0</v>
      </c>
      <c r="K221" s="14">
        <f>IF(TbRegistroEntradas[[#This Row],[Data da Competência]]="",0,MONTH(TbRegistroEntradas[[#This Row],[Data da Competência]]))</f>
        <v>5</v>
      </c>
      <c r="L221" s="14">
        <f>IF(TbRegistroEntradas[[#This Row],[Data da Competência]]="",0,YEAR(TbRegistroEntradas[[#This Row],[Data da Competência]]))</f>
        <v>2019</v>
      </c>
      <c r="M221" s="14">
        <f>IF(TbRegistroEntradas[[#This Row],[Data do Caixa Previsto]]="",0,MONTH(TbRegistroEntradas[[#This Row],[Data do Caixa Previsto]]))</f>
        <v>5</v>
      </c>
      <c r="N221" s="14">
        <f>IF(TbRegistroEntradas[[#This Row],[Data do Caixa Previsto]]="",0,YEAR(TbRegistroEntradas[[#This Row],[Data do Caixa Previsto]]))</f>
        <v>2019</v>
      </c>
      <c r="O221" s="14" t="str">
        <f>IF(TbRegistroEntradas[[#This Row],[Data da Competência]]=TbRegistroEntradas[[#This Row],[Data do Caixa Previsto]],"Vista","Prazo")</f>
        <v>Vista</v>
      </c>
      <c r="P22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1797</v>
      </c>
      <c r="Q221" s="14" t="str">
        <f ca="1">IF(AND(TbRegistroEntradas[[#This Row],[Data do Caixa Previsto]]&lt;TODAY(),TbRegistroEntradas[[#This Row],[Data do Caixa Realizado]]=""),"Vencida","Não vencida")</f>
        <v>Vencida</v>
      </c>
    </row>
    <row r="222" spans="2:17" x14ac:dyDescent="0.25">
      <c r="B222" s="13">
        <v>43631.169319753048</v>
      </c>
      <c r="C222" s="13">
        <v>43600</v>
      </c>
      <c r="D222" s="13">
        <v>43631.169319753048</v>
      </c>
      <c r="E222" s="14" t="s">
        <v>0</v>
      </c>
      <c r="F222" s="14" t="s">
        <v>24</v>
      </c>
      <c r="G222" s="14" t="s">
        <v>298</v>
      </c>
      <c r="H222" s="15">
        <v>1006</v>
      </c>
      <c r="I222" s="14">
        <f>IF(TbRegistroEntradas[[#This Row],[Data do Caixa Realizado]]="",0,MONTH(TbRegistroEntradas[[#This Row],[Data do Caixa Realizado]]))</f>
        <v>6</v>
      </c>
      <c r="J222" s="14">
        <f>IF(TbRegistroEntradas[[#This Row],[Data do Caixa Realizado]]="",0,YEAR(TbRegistroEntradas[[#This Row],[Data do Caixa Realizado]]))</f>
        <v>2019</v>
      </c>
      <c r="K222" s="14">
        <f>IF(TbRegistroEntradas[[#This Row],[Data da Competência]]="",0,MONTH(TbRegistroEntradas[[#This Row],[Data da Competência]]))</f>
        <v>5</v>
      </c>
      <c r="L222" s="14">
        <f>IF(TbRegistroEntradas[[#This Row],[Data da Competência]]="",0,YEAR(TbRegistroEntradas[[#This Row],[Data da Competência]]))</f>
        <v>2019</v>
      </c>
      <c r="M222" s="14">
        <f>IF(TbRegistroEntradas[[#This Row],[Data do Caixa Previsto]]="",0,MONTH(TbRegistroEntradas[[#This Row],[Data do Caixa Previsto]]))</f>
        <v>6</v>
      </c>
      <c r="N222" s="14">
        <f>IF(TbRegistroEntradas[[#This Row],[Data do Caixa Previsto]]="",0,YEAR(TbRegistroEntradas[[#This Row],[Data do Caixa Previsto]]))</f>
        <v>2019</v>
      </c>
      <c r="O222" s="14" t="str">
        <f>IF(TbRegistroEntradas[[#This Row],[Data da Competência]]=TbRegistroEntradas[[#This Row],[Data do Caixa Previsto]],"Vista","Prazo")</f>
        <v>Prazo</v>
      </c>
      <c r="P22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2" s="14" t="str">
        <f ca="1">IF(AND(TbRegistroEntradas[[#This Row],[Data do Caixa Previsto]]&lt;TODAY(),TbRegistroEntradas[[#This Row],[Data do Caixa Realizado]]=""),"Vencida","Não vencida")</f>
        <v>Não vencida</v>
      </c>
    </row>
    <row r="223" spans="2:17" x14ac:dyDescent="0.25">
      <c r="B223" s="13">
        <v>43686.642670066765</v>
      </c>
      <c r="C223" s="13">
        <v>43604</v>
      </c>
      <c r="D223" s="13">
        <v>43635.878098777197</v>
      </c>
      <c r="E223" s="14" t="s">
        <v>0</v>
      </c>
      <c r="F223" s="14" t="s">
        <v>49</v>
      </c>
      <c r="G223" s="14" t="s">
        <v>299</v>
      </c>
      <c r="H223" s="15">
        <v>1071</v>
      </c>
      <c r="I223" s="14">
        <f>IF(TbRegistroEntradas[[#This Row],[Data do Caixa Realizado]]="",0,MONTH(TbRegistroEntradas[[#This Row],[Data do Caixa Realizado]]))</f>
        <v>8</v>
      </c>
      <c r="J223" s="14">
        <f>IF(TbRegistroEntradas[[#This Row],[Data do Caixa Realizado]]="",0,YEAR(TbRegistroEntradas[[#This Row],[Data do Caixa Realizado]]))</f>
        <v>2019</v>
      </c>
      <c r="K223" s="14">
        <f>IF(TbRegistroEntradas[[#This Row],[Data da Competência]]="",0,MONTH(TbRegistroEntradas[[#This Row],[Data da Competência]]))</f>
        <v>5</v>
      </c>
      <c r="L223" s="14">
        <f>IF(TbRegistroEntradas[[#This Row],[Data da Competência]]="",0,YEAR(TbRegistroEntradas[[#This Row],[Data da Competência]]))</f>
        <v>2019</v>
      </c>
      <c r="M223" s="14">
        <f>IF(TbRegistroEntradas[[#This Row],[Data do Caixa Previsto]]="",0,MONTH(TbRegistroEntradas[[#This Row],[Data do Caixa Previsto]]))</f>
        <v>6</v>
      </c>
      <c r="N223" s="14">
        <f>IF(TbRegistroEntradas[[#This Row],[Data do Caixa Previsto]]="",0,YEAR(TbRegistroEntradas[[#This Row],[Data do Caixa Previsto]]))</f>
        <v>2019</v>
      </c>
      <c r="O223" s="14" t="str">
        <f>IF(TbRegistroEntradas[[#This Row],[Data da Competência]]=TbRegistroEntradas[[#This Row],[Data do Caixa Previsto]],"Vista","Prazo")</f>
        <v>Prazo</v>
      </c>
      <c r="P22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50.764571289568266</v>
      </c>
      <c r="Q223" s="14" t="str">
        <f ca="1">IF(AND(TbRegistroEntradas[[#This Row],[Data do Caixa Previsto]]&lt;TODAY(),TbRegistroEntradas[[#This Row],[Data do Caixa Realizado]]=""),"Vencida","Não vencida")</f>
        <v>Não vencida</v>
      </c>
    </row>
    <row r="224" spans="2:17" x14ac:dyDescent="0.25">
      <c r="B224" s="13">
        <v>43630.288414733965</v>
      </c>
      <c r="C224" s="13">
        <v>43609</v>
      </c>
      <c r="D224" s="13">
        <v>43630.288414733965</v>
      </c>
      <c r="E224" s="14" t="s">
        <v>0</v>
      </c>
      <c r="F224" s="14" t="s">
        <v>5</v>
      </c>
      <c r="G224" s="14" t="s">
        <v>300</v>
      </c>
      <c r="H224" s="15">
        <v>2194</v>
      </c>
      <c r="I224" s="14">
        <f>IF(TbRegistroEntradas[[#This Row],[Data do Caixa Realizado]]="",0,MONTH(TbRegistroEntradas[[#This Row],[Data do Caixa Realizado]]))</f>
        <v>6</v>
      </c>
      <c r="J224" s="14">
        <f>IF(TbRegistroEntradas[[#This Row],[Data do Caixa Realizado]]="",0,YEAR(TbRegistroEntradas[[#This Row],[Data do Caixa Realizado]]))</f>
        <v>2019</v>
      </c>
      <c r="K224" s="14">
        <f>IF(TbRegistroEntradas[[#This Row],[Data da Competência]]="",0,MONTH(TbRegistroEntradas[[#This Row],[Data da Competência]]))</f>
        <v>5</v>
      </c>
      <c r="L224" s="14">
        <f>IF(TbRegistroEntradas[[#This Row],[Data da Competência]]="",0,YEAR(TbRegistroEntradas[[#This Row],[Data da Competência]]))</f>
        <v>2019</v>
      </c>
      <c r="M224" s="14">
        <f>IF(TbRegistroEntradas[[#This Row],[Data do Caixa Previsto]]="",0,MONTH(TbRegistroEntradas[[#This Row],[Data do Caixa Previsto]]))</f>
        <v>6</v>
      </c>
      <c r="N224" s="14">
        <f>IF(TbRegistroEntradas[[#This Row],[Data do Caixa Previsto]]="",0,YEAR(TbRegistroEntradas[[#This Row],[Data do Caixa Previsto]]))</f>
        <v>2019</v>
      </c>
      <c r="O224" s="14" t="str">
        <f>IF(TbRegistroEntradas[[#This Row],[Data da Competência]]=TbRegistroEntradas[[#This Row],[Data do Caixa Previsto]],"Vista","Prazo")</f>
        <v>Prazo</v>
      </c>
      <c r="P22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4" s="14" t="str">
        <f ca="1">IF(AND(TbRegistroEntradas[[#This Row],[Data do Caixa Previsto]]&lt;TODAY(),TbRegistroEntradas[[#This Row],[Data do Caixa Realizado]]=""),"Vencida","Não vencida")</f>
        <v>Não vencida</v>
      </c>
    </row>
    <row r="225" spans="2:17" x14ac:dyDescent="0.25">
      <c r="B225" s="13">
        <v>43611.846709635254</v>
      </c>
      <c r="C225" s="13">
        <v>43611</v>
      </c>
      <c r="D225" s="13">
        <v>43611.846709635254</v>
      </c>
      <c r="E225" s="14" t="s">
        <v>0</v>
      </c>
      <c r="F225" s="14" t="s">
        <v>24</v>
      </c>
      <c r="G225" s="14" t="s">
        <v>301</v>
      </c>
      <c r="H225" s="15">
        <v>2531</v>
      </c>
      <c r="I225" s="14">
        <f>IF(TbRegistroEntradas[[#This Row],[Data do Caixa Realizado]]="",0,MONTH(TbRegistroEntradas[[#This Row],[Data do Caixa Realizado]]))</f>
        <v>5</v>
      </c>
      <c r="J225" s="14">
        <f>IF(TbRegistroEntradas[[#This Row],[Data do Caixa Realizado]]="",0,YEAR(TbRegistroEntradas[[#This Row],[Data do Caixa Realizado]]))</f>
        <v>2019</v>
      </c>
      <c r="K225" s="14">
        <f>IF(TbRegistroEntradas[[#This Row],[Data da Competência]]="",0,MONTH(TbRegistroEntradas[[#This Row],[Data da Competência]]))</f>
        <v>5</v>
      </c>
      <c r="L225" s="14">
        <f>IF(TbRegistroEntradas[[#This Row],[Data da Competência]]="",0,YEAR(TbRegistroEntradas[[#This Row],[Data da Competência]]))</f>
        <v>2019</v>
      </c>
      <c r="M225" s="14">
        <f>IF(TbRegistroEntradas[[#This Row],[Data do Caixa Previsto]]="",0,MONTH(TbRegistroEntradas[[#This Row],[Data do Caixa Previsto]]))</f>
        <v>5</v>
      </c>
      <c r="N225" s="14">
        <f>IF(TbRegistroEntradas[[#This Row],[Data do Caixa Previsto]]="",0,YEAR(TbRegistroEntradas[[#This Row],[Data do Caixa Previsto]]))</f>
        <v>2019</v>
      </c>
      <c r="O225" s="14" t="str">
        <f>IF(TbRegistroEntradas[[#This Row],[Data da Competência]]=TbRegistroEntradas[[#This Row],[Data do Caixa Previsto]],"Vista","Prazo")</f>
        <v>Prazo</v>
      </c>
      <c r="P22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5" s="14" t="str">
        <f ca="1">IF(AND(TbRegistroEntradas[[#This Row],[Data do Caixa Previsto]]&lt;TODAY(),TbRegistroEntradas[[#This Row],[Data do Caixa Realizado]]=""),"Vencida","Não vencida")</f>
        <v>Não vencida</v>
      </c>
    </row>
    <row r="226" spans="2:17" x14ac:dyDescent="0.25">
      <c r="B226" s="13">
        <v>43708.684678024969</v>
      </c>
      <c r="C226" s="13">
        <v>43614</v>
      </c>
      <c r="D226" s="13">
        <v>43655.218374780801</v>
      </c>
      <c r="E226" s="14" t="s">
        <v>0</v>
      </c>
      <c r="F226" s="14" t="s">
        <v>3</v>
      </c>
      <c r="G226" s="14" t="s">
        <v>302</v>
      </c>
      <c r="H226" s="15">
        <v>657</v>
      </c>
      <c r="I226" s="14">
        <f>IF(TbRegistroEntradas[[#This Row],[Data do Caixa Realizado]]="",0,MONTH(TbRegistroEntradas[[#This Row],[Data do Caixa Realizado]]))</f>
        <v>8</v>
      </c>
      <c r="J226" s="14">
        <f>IF(TbRegistroEntradas[[#This Row],[Data do Caixa Realizado]]="",0,YEAR(TbRegistroEntradas[[#This Row],[Data do Caixa Realizado]]))</f>
        <v>2019</v>
      </c>
      <c r="K226" s="14">
        <f>IF(TbRegistroEntradas[[#This Row],[Data da Competência]]="",0,MONTH(TbRegistroEntradas[[#This Row],[Data da Competência]]))</f>
        <v>5</v>
      </c>
      <c r="L226" s="14">
        <f>IF(TbRegistroEntradas[[#This Row],[Data da Competência]]="",0,YEAR(TbRegistroEntradas[[#This Row],[Data da Competência]]))</f>
        <v>2019</v>
      </c>
      <c r="M226" s="14">
        <f>IF(TbRegistroEntradas[[#This Row],[Data do Caixa Previsto]]="",0,MONTH(TbRegistroEntradas[[#This Row],[Data do Caixa Previsto]]))</f>
        <v>7</v>
      </c>
      <c r="N226" s="14">
        <f>IF(TbRegistroEntradas[[#This Row],[Data do Caixa Previsto]]="",0,YEAR(TbRegistroEntradas[[#This Row],[Data do Caixa Previsto]]))</f>
        <v>2019</v>
      </c>
      <c r="O226" s="14" t="str">
        <f>IF(TbRegistroEntradas[[#This Row],[Data da Competência]]=TbRegistroEntradas[[#This Row],[Data do Caixa Previsto]],"Vista","Prazo")</f>
        <v>Prazo</v>
      </c>
      <c r="P22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53.466303244167648</v>
      </c>
      <c r="Q226" s="14" t="str">
        <f ca="1">IF(AND(TbRegistroEntradas[[#This Row],[Data do Caixa Previsto]]&lt;TODAY(),TbRegistroEntradas[[#This Row],[Data do Caixa Realizado]]=""),"Vencida","Não vencida")</f>
        <v>Não vencida</v>
      </c>
    </row>
    <row r="227" spans="2:17" x14ac:dyDescent="0.25">
      <c r="B227" s="13">
        <v>43648.175451286195</v>
      </c>
      <c r="C227" s="13">
        <v>43615</v>
      </c>
      <c r="D227" s="13">
        <v>43648.175451286195</v>
      </c>
      <c r="E227" s="14" t="s">
        <v>0</v>
      </c>
      <c r="F227" s="14" t="s">
        <v>17</v>
      </c>
      <c r="G227" s="14" t="s">
        <v>303</v>
      </c>
      <c r="H227" s="15">
        <v>4535</v>
      </c>
      <c r="I227" s="14">
        <f>IF(TbRegistroEntradas[[#This Row],[Data do Caixa Realizado]]="",0,MONTH(TbRegistroEntradas[[#This Row],[Data do Caixa Realizado]]))</f>
        <v>7</v>
      </c>
      <c r="J227" s="14">
        <f>IF(TbRegistroEntradas[[#This Row],[Data do Caixa Realizado]]="",0,YEAR(TbRegistroEntradas[[#This Row],[Data do Caixa Realizado]]))</f>
        <v>2019</v>
      </c>
      <c r="K227" s="14">
        <f>IF(TbRegistroEntradas[[#This Row],[Data da Competência]]="",0,MONTH(TbRegistroEntradas[[#This Row],[Data da Competência]]))</f>
        <v>5</v>
      </c>
      <c r="L227" s="14">
        <f>IF(TbRegistroEntradas[[#This Row],[Data da Competência]]="",0,YEAR(TbRegistroEntradas[[#This Row],[Data da Competência]]))</f>
        <v>2019</v>
      </c>
      <c r="M227" s="14">
        <f>IF(TbRegistroEntradas[[#This Row],[Data do Caixa Previsto]]="",0,MONTH(TbRegistroEntradas[[#This Row],[Data do Caixa Previsto]]))</f>
        <v>7</v>
      </c>
      <c r="N227" s="14">
        <f>IF(TbRegistroEntradas[[#This Row],[Data do Caixa Previsto]]="",0,YEAR(TbRegistroEntradas[[#This Row],[Data do Caixa Previsto]]))</f>
        <v>2019</v>
      </c>
      <c r="O227" s="14" t="str">
        <f>IF(TbRegistroEntradas[[#This Row],[Data da Competência]]=TbRegistroEntradas[[#This Row],[Data do Caixa Previsto]],"Vista","Prazo")</f>
        <v>Prazo</v>
      </c>
      <c r="P227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7" s="14" t="str">
        <f ca="1">IF(AND(TbRegistroEntradas[[#This Row],[Data do Caixa Previsto]]&lt;TODAY(),TbRegistroEntradas[[#This Row],[Data do Caixa Realizado]]=""),"Vencida","Não vencida")</f>
        <v>Não vencida</v>
      </c>
    </row>
    <row r="228" spans="2:17" x14ac:dyDescent="0.25">
      <c r="B228" s="13">
        <v>43667.504857748412</v>
      </c>
      <c r="C228" s="13">
        <v>43620</v>
      </c>
      <c r="D228" s="13">
        <v>43641.616865332398</v>
      </c>
      <c r="E228" s="14" t="s">
        <v>0</v>
      </c>
      <c r="F228" s="14" t="s">
        <v>24</v>
      </c>
      <c r="G228" s="14" t="s">
        <v>304</v>
      </c>
      <c r="H228" s="15">
        <v>1848</v>
      </c>
      <c r="I228" s="14">
        <f>IF(TbRegistroEntradas[[#This Row],[Data do Caixa Realizado]]="",0,MONTH(TbRegistroEntradas[[#This Row],[Data do Caixa Realizado]]))</f>
        <v>7</v>
      </c>
      <c r="J228" s="14">
        <f>IF(TbRegistroEntradas[[#This Row],[Data do Caixa Realizado]]="",0,YEAR(TbRegistroEntradas[[#This Row],[Data do Caixa Realizado]]))</f>
        <v>2019</v>
      </c>
      <c r="K228" s="14">
        <f>IF(TbRegistroEntradas[[#This Row],[Data da Competência]]="",0,MONTH(TbRegistroEntradas[[#This Row],[Data da Competência]]))</f>
        <v>6</v>
      </c>
      <c r="L228" s="14">
        <f>IF(TbRegistroEntradas[[#This Row],[Data da Competência]]="",0,YEAR(TbRegistroEntradas[[#This Row],[Data da Competência]]))</f>
        <v>2019</v>
      </c>
      <c r="M228" s="14">
        <f>IF(TbRegistroEntradas[[#This Row],[Data do Caixa Previsto]]="",0,MONTH(TbRegistroEntradas[[#This Row],[Data do Caixa Previsto]]))</f>
        <v>6</v>
      </c>
      <c r="N228" s="14">
        <f>IF(TbRegistroEntradas[[#This Row],[Data do Caixa Previsto]]="",0,YEAR(TbRegistroEntradas[[#This Row],[Data do Caixa Previsto]]))</f>
        <v>2019</v>
      </c>
      <c r="O228" s="14" t="str">
        <f>IF(TbRegistroEntradas[[#This Row],[Data da Competência]]=TbRegistroEntradas[[#This Row],[Data do Caixa Previsto]],"Vista","Prazo")</f>
        <v>Prazo</v>
      </c>
      <c r="P228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25.887992416013731</v>
      </c>
      <c r="Q228" s="14" t="str">
        <f ca="1">IF(AND(TbRegistroEntradas[[#This Row],[Data do Caixa Previsto]]&lt;TODAY(),TbRegistroEntradas[[#This Row],[Data do Caixa Realizado]]=""),"Vencida","Não vencida")</f>
        <v>Não vencida</v>
      </c>
    </row>
    <row r="229" spans="2:17" x14ac:dyDescent="0.25">
      <c r="B229" s="13">
        <v>43633.202763509209</v>
      </c>
      <c r="C229" s="13">
        <v>43625</v>
      </c>
      <c r="D229" s="13">
        <v>43632.847420047961</v>
      </c>
      <c r="E229" s="14" t="s">
        <v>0</v>
      </c>
      <c r="F229" s="14" t="s">
        <v>24</v>
      </c>
      <c r="G229" s="14" t="s">
        <v>305</v>
      </c>
      <c r="H229" s="15">
        <v>191</v>
      </c>
      <c r="I229" s="14">
        <f>IF(TbRegistroEntradas[[#This Row],[Data do Caixa Realizado]]="",0,MONTH(TbRegistroEntradas[[#This Row],[Data do Caixa Realizado]]))</f>
        <v>6</v>
      </c>
      <c r="J229" s="14">
        <f>IF(TbRegistroEntradas[[#This Row],[Data do Caixa Realizado]]="",0,YEAR(TbRegistroEntradas[[#This Row],[Data do Caixa Realizado]]))</f>
        <v>2019</v>
      </c>
      <c r="K229" s="14">
        <f>IF(TbRegistroEntradas[[#This Row],[Data da Competência]]="",0,MONTH(TbRegistroEntradas[[#This Row],[Data da Competência]]))</f>
        <v>6</v>
      </c>
      <c r="L229" s="14">
        <f>IF(TbRegistroEntradas[[#This Row],[Data da Competência]]="",0,YEAR(TbRegistroEntradas[[#This Row],[Data da Competência]]))</f>
        <v>2019</v>
      </c>
      <c r="M229" s="14">
        <f>IF(TbRegistroEntradas[[#This Row],[Data do Caixa Previsto]]="",0,MONTH(TbRegistroEntradas[[#This Row],[Data do Caixa Previsto]]))</f>
        <v>6</v>
      </c>
      <c r="N229" s="14">
        <f>IF(TbRegistroEntradas[[#This Row],[Data do Caixa Previsto]]="",0,YEAR(TbRegistroEntradas[[#This Row],[Data do Caixa Previsto]]))</f>
        <v>2019</v>
      </c>
      <c r="O229" s="14" t="str">
        <f>IF(TbRegistroEntradas[[#This Row],[Data da Competência]]=TbRegistroEntradas[[#This Row],[Data do Caixa Previsto]],"Vista","Prazo")</f>
        <v>Prazo</v>
      </c>
      <c r="P229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0.3553434612476849</v>
      </c>
      <c r="Q229" s="14" t="str">
        <f ca="1">IF(AND(TbRegistroEntradas[[#This Row],[Data do Caixa Previsto]]&lt;TODAY(),TbRegistroEntradas[[#This Row],[Data do Caixa Realizado]]=""),"Vencida","Não vencida")</f>
        <v>Não vencida</v>
      </c>
    </row>
    <row r="230" spans="2:17" x14ac:dyDescent="0.25">
      <c r="B230" s="13" t="s">
        <v>92</v>
      </c>
      <c r="C230" s="13">
        <v>43629</v>
      </c>
      <c r="D230" s="13">
        <v>43668.924870501287</v>
      </c>
      <c r="E230" s="14" t="s">
        <v>0</v>
      </c>
      <c r="F230" s="14" t="s">
        <v>17</v>
      </c>
      <c r="G230" s="14" t="s">
        <v>306</v>
      </c>
      <c r="H230" s="15">
        <v>508</v>
      </c>
      <c r="I230" s="14">
        <f>IF(TbRegistroEntradas[[#This Row],[Data do Caixa Realizado]]="",0,MONTH(TbRegistroEntradas[[#This Row],[Data do Caixa Realizado]]))</f>
        <v>0</v>
      </c>
      <c r="J230" s="14">
        <f>IF(TbRegistroEntradas[[#This Row],[Data do Caixa Realizado]]="",0,YEAR(TbRegistroEntradas[[#This Row],[Data do Caixa Realizado]]))</f>
        <v>0</v>
      </c>
      <c r="K230" s="14">
        <f>IF(TbRegistroEntradas[[#This Row],[Data da Competência]]="",0,MONTH(TbRegistroEntradas[[#This Row],[Data da Competência]]))</f>
        <v>6</v>
      </c>
      <c r="L230" s="14">
        <f>IF(TbRegistroEntradas[[#This Row],[Data da Competência]]="",0,YEAR(TbRegistroEntradas[[#This Row],[Data da Competência]]))</f>
        <v>2019</v>
      </c>
      <c r="M230" s="14">
        <f>IF(TbRegistroEntradas[[#This Row],[Data do Caixa Previsto]]="",0,MONTH(TbRegistroEntradas[[#This Row],[Data do Caixa Previsto]]))</f>
        <v>7</v>
      </c>
      <c r="N230" s="14">
        <f>IF(TbRegistroEntradas[[#This Row],[Data do Caixa Previsto]]="",0,YEAR(TbRegistroEntradas[[#This Row],[Data do Caixa Previsto]]))</f>
        <v>2019</v>
      </c>
      <c r="O230" s="14" t="str">
        <f>IF(TbRegistroEntradas[[#This Row],[Data da Competência]]=TbRegistroEntradas[[#This Row],[Data do Caixa Previsto]],"Vista","Prazo")</f>
        <v>Prazo</v>
      </c>
      <c r="P230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1725.0751294987131</v>
      </c>
      <c r="Q230" s="14" t="str">
        <f ca="1">IF(AND(TbRegistroEntradas[[#This Row],[Data do Caixa Previsto]]&lt;TODAY(),TbRegistroEntradas[[#This Row],[Data do Caixa Realizado]]=""),"Vencida","Não vencida")</f>
        <v>Vencida</v>
      </c>
    </row>
    <row r="231" spans="2:17" x14ac:dyDescent="0.25">
      <c r="B231" s="13">
        <v>43663.604642253973</v>
      </c>
      <c r="C231" s="13">
        <v>43631</v>
      </c>
      <c r="D231" s="13">
        <v>43631</v>
      </c>
      <c r="E231" s="14" t="s">
        <v>0</v>
      </c>
      <c r="F231" s="14" t="s">
        <v>5</v>
      </c>
      <c r="G231" s="14" t="s">
        <v>307</v>
      </c>
      <c r="H231" s="15">
        <v>1482</v>
      </c>
      <c r="I231" s="14">
        <f>IF(TbRegistroEntradas[[#This Row],[Data do Caixa Realizado]]="",0,MONTH(TbRegistroEntradas[[#This Row],[Data do Caixa Realizado]]))</f>
        <v>7</v>
      </c>
      <c r="J231" s="14">
        <f>IF(TbRegistroEntradas[[#This Row],[Data do Caixa Realizado]]="",0,YEAR(TbRegistroEntradas[[#This Row],[Data do Caixa Realizado]]))</f>
        <v>2019</v>
      </c>
      <c r="K231" s="14">
        <f>IF(TbRegistroEntradas[[#This Row],[Data da Competência]]="",0,MONTH(TbRegistroEntradas[[#This Row],[Data da Competência]]))</f>
        <v>6</v>
      </c>
      <c r="L231" s="14">
        <f>IF(TbRegistroEntradas[[#This Row],[Data da Competência]]="",0,YEAR(TbRegistroEntradas[[#This Row],[Data da Competência]]))</f>
        <v>2019</v>
      </c>
      <c r="M231" s="14">
        <f>IF(TbRegistroEntradas[[#This Row],[Data do Caixa Previsto]]="",0,MONTH(TbRegistroEntradas[[#This Row],[Data do Caixa Previsto]]))</f>
        <v>6</v>
      </c>
      <c r="N231" s="14">
        <f>IF(TbRegistroEntradas[[#This Row],[Data do Caixa Previsto]]="",0,YEAR(TbRegistroEntradas[[#This Row],[Data do Caixa Previsto]]))</f>
        <v>2019</v>
      </c>
      <c r="O231" s="14" t="str">
        <f>IF(TbRegistroEntradas[[#This Row],[Data da Competência]]=TbRegistroEntradas[[#This Row],[Data do Caixa Previsto]],"Vista","Prazo")</f>
        <v>Vista</v>
      </c>
      <c r="P231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32.604642253972997</v>
      </c>
      <c r="Q231" s="14" t="str">
        <f ca="1">IF(AND(TbRegistroEntradas[[#This Row],[Data do Caixa Previsto]]&lt;TODAY(),TbRegistroEntradas[[#This Row],[Data do Caixa Realizado]]=""),"Vencida","Não vencida")</f>
        <v>Não vencida</v>
      </c>
    </row>
    <row r="232" spans="2:17" x14ac:dyDescent="0.25">
      <c r="B232" s="13">
        <v>43647.603244851816</v>
      </c>
      <c r="C232" s="13">
        <v>43632</v>
      </c>
      <c r="D232" s="13">
        <v>43647.603244851816</v>
      </c>
      <c r="E232" s="14" t="s">
        <v>0</v>
      </c>
      <c r="F232" s="14" t="s">
        <v>49</v>
      </c>
      <c r="G232" s="14" t="s">
        <v>308</v>
      </c>
      <c r="H232" s="15">
        <v>555</v>
      </c>
      <c r="I232" s="14">
        <f>IF(TbRegistroEntradas[[#This Row],[Data do Caixa Realizado]]="",0,MONTH(TbRegistroEntradas[[#This Row],[Data do Caixa Realizado]]))</f>
        <v>7</v>
      </c>
      <c r="J232" s="14">
        <f>IF(TbRegistroEntradas[[#This Row],[Data do Caixa Realizado]]="",0,YEAR(TbRegistroEntradas[[#This Row],[Data do Caixa Realizado]]))</f>
        <v>2019</v>
      </c>
      <c r="K232" s="14">
        <f>IF(TbRegistroEntradas[[#This Row],[Data da Competência]]="",0,MONTH(TbRegistroEntradas[[#This Row],[Data da Competência]]))</f>
        <v>6</v>
      </c>
      <c r="L232" s="14">
        <f>IF(TbRegistroEntradas[[#This Row],[Data da Competência]]="",0,YEAR(TbRegistroEntradas[[#This Row],[Data da Competência]]))</f>
        <v>2019</v>
      </c>
      <c r="M232" s="14">
        <f>IF(TbRegistroEntradas[[#This Row],[Data do Caixa Previsto]]="",0,MONTH(TbRegistroEntradas[[#This Row],[Data do Caixa Previsto]]))</f>
        <v>7</v>
      </c>
      <c r="N232" s="14">
        <f>IF(TbRegistroEntradas[[#This Row],[Data do Caixa Previsto]]="",0,YEAR(TbRegistroEntradas[[#This Row],[Data do Caixa Previsto]]))</f>
        <v>2019</v>
      </c>
      <c r="O232" s="14" t="str">
        <f>IF(TbRegistroEntradas[[#This Row],[Data da Competência]]=TbRegistroEntradas[[#This Row],[Data do Caixa Previsto]],"Vista","Prazo")</f>
        <v>Prazo</v>
      </c>
      <c r="P232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32" s="14" t="str">
        <f ca="1">IF(AND(TbRegistroEntradas[[#This Row],[Data do Caixa Previsto]]&lt;TODAY(),TbRegistroEntradas[[#This Row],[Data do Caixa Realizado]]=""),"Vencida","Não vencida")</f>
        <v>Não vencida</v>
      </c>
    </row>
    <row r="233" spans="2:17" x14ac:dyDescent="0.25">
      <c r="B233" s="13">
        <v>43741.143740040614</v>
      </c>
      <c r="C233" s="13">
        <v>43636</v>
      </c>
      <c r="D233" s="13">
        <v>43687.570970311433</v>
      </c>
      <c r="E233" s="14" t="s">
        <v>0</v>
      </c>
      <c r="F233" s="14" t="s">
        <v>17</v>
      </c>
      <c r="G233" s="14" t="s">
        <v>309</v>
      </c>
      <c r="H233" s="15">
        <v>1906</v>
      </c>
      <c r="I233" s="14">
        <f>IF(TbRegistroEntradas[[#This Row],[Data do Caixa Realizado]]="",0,MONTH(TbRegistroEntradas[[#This Row],[Data do Caixa Realizado]]))</f>
        <v>10</v>
      </c>
      <c r="J233" s="14">
        <f>IF(TbRegistroEntradas[[#This Row],[Data do Caixa Realizado]]="",0,YEAR(TbRegistroEntradas[[#This Row],[Data do Caixa Realizado]]))</f>
        <v>2019</v>
      </c>
      <c r="K233" s="14">
        <f>IF(TbRegistroEntradas[[#This Row],[Data da Competência]]="",0,MONTH(TbRegistroEntradas[[#This Row],[Data da Competência]]))</f>
        <v>6</v>
      </c>
      <c r="L233" s="14">
        <f>IF(TbRegistroEntradas[[#This Row],[Data da Competência]]="",0,YEAR(TbRegistroEntradas[[#This Row],[Data da Competência]]))</f>
        <v>2019</v>
      </c>
      <c r="M233" s="14">
        <f>IF(TbRegistroEntradas[[#This Row],[Data do Caixa Previsto]]="",0,MONTH(TbRegistroEntradas[[#This Row],[Data do Caixa Previsto]]))</f>
        <v>8</v>
      </c>
      <c r="N233" s="14">
        <f>IF(TbRegistroEntradas[[#This Row],[Data do Caixa Previsto]]="",0,YEAR(TbRegistroEntradas[[#This Row],[Data do Caixa Previsto]]))</f>
        <v>2019</v>
      </c>
      <c r="O233" s="14" t="str">
        <f>IF(TbRegistroEntradas[[#This Row],[Data da Competência]]=TbRegistroEntradas[[#This Row],[Data do Caixa Previsto]],"Vista","Prazo")</f>
        <v>Prazo</v>
      </c>
      <c r="P233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53.572769729180436</v>
      </c>
      <c r="Q233" s="14" t="str">
        <f ca="1">IF(AND(TbRegistroEntradas[[#This Row],[Data do Caixa Previsto]]&lt;TODAY(),TbRegistroEntradas[[#This Row],[Data do Caixa Realizado]]=""),"Vencida","Não vencida")</f>
        <v>Não vencida</v>
      </c>
    </row>
    <row r="234" spans="2:17" x14ac:dyDescent="0.25">
      <c r="B234" s="13">
        <v>43645.269692137255</v>
      </c>
      <c r="C234" s="13">
        <v>43641</v>
      </c>
      <c r="D234" s="13">
        <v>43645.269692137255</v>
      </c>
      <c r="E234" s="14" t="s">
        <v>0</v>
      </c>
      <c r="F234" s="14" t="s">
        <v>17</v>
      </c>
      <c r="G234" s="14" t="s">
        <v>310</v>
      </c>
      <c r="H234" s="15">
        <v>450</v>
      </c>
      <c r="I234" s="14">
        <f>IF(TbRegistroEntradas[[#This Row],[Data do Caixa Realizado]]="",0,MONTH(TbRegistroEntradas[[#This Row],[Data do Caixa Realizado]]))</f>
        <v>6</v>
      </c>
      <c r="J234" s="14">
        <f>IF(TbRegistroEntradas[[#This Row],[Data do Caixa Realizado]]="",0,YEAR(TbRegistroEntradas[[#This Row],[Data do Caixa Realizado]]))</f>
        <v>2019</v>
      </c>
      <c r="K234" s="14">
        <f>IF(TbRegistroEntradas[[#This Row],[Data da Competência]]="",0,MONTH(TbRegistroEntradas[[#This Row],[Data da Competência]]))</f>
        <v>6</v>
      </c>
      <c r="L234" s="14">
        <f>IF(TbRegistroEntradas[[#This Row],[Data da Competência]]="",0,YEAR(TbRegistroEntradas[[#This Row],[Data da Competência]]))</f>
        <v>2019</v>
      </c>
      <c r="M234" s="14">
        <f>IF(TbRegistroEntradas[[#This Row],[Data do Caixa Previsto]]="",0,MONTH(TbRegistroEntradas[[#This Row],[Data do Caixa Previsto]]))</f>
        <v>6</v>
      </c>
      <c r="N234" s="14">
        <f>IF(TbRegistroEntradas[[#This Row],[Data do Caixa Previsto]]="",0,YEAR(TbRegistroEntradas[[#This Row],[Data do Caixa Previsto]]))</f>
        <v>2019</v>
      </c>
      <c r="O234" s="14" t="str">
        <f>IF(TbRegistroEntradas[[#This Row],[Data da Competência]]=TbRegistroEntradas[[#This Row],[Data do Caixa Previsto]],"Vista","Prazo")</f>
        <v>Prazo</v>
      </c>
      <c r="P234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34" s="14" t="str">
        <f ca="1">IF(AND(TbRegistroEntradas[[#This Row],[Data do Caixa Previsto]]&lt;TODAY(),TbRegistroEntradas[[#This Row],[Data do Caixa Realizado]]=""),"Vencida","Não vencida")</f>
        <v>Não vencida</v>
      </c>
    </row>
    <row r="235" spans="2:17" x14ac:dyDescent="0.25">
      <c r="B235" s="13" t="s">
        <v>92</v>
      </c>
      <c r="C235" s="13">
        <v>43644</v>
      </c>
      <c r="D235" s="13">
        <v>43662.268601302756</v>
      </c>
      <c r="E235" s="14" t="s">
        <v>0</v>
      </c>
      <c r="F235" s="14" t="s">
        <v>24</v>
      </c>
      <c r="G235" s="14" t="s">
        <v>311</v>
      </c>
      <c r="H235" s="15">
        <v>1479</v>
      </c>
      <c r="I235" s="14">
        <f>IF(TbRegistroEntradas[[#This Row],[Data do Caixa Realizado]]="",0,MONTH(TbRegistroEntradas[[#This Row],[Data do Caixa Realizado]]))</f>
        <v>0</v>
      </c>
      <c r="J235" s="14">
        <f>IF(TbRegistroEntradas[[#This Row],[Data do Caixa Realizado]]="",0,YEAR(TbRegistroEntradas[[#This Row],[Data do Caixa Realizado]]))</f>
        <v>0</v>
      </c>
      <c r="K235" s="14">
        <f>IF(TbRegistroEntradas[[#This Row],[Data da Competência]]="",0,MONTH(TbRegistroEntradas[[#This Row],[Data da Competência]]))</f>
        <v>6</v>
      </c>
      <c r="L235" s="14">
        <f>IF(TbRegistroEntradas[[#This Row],[Data da Competência]]="",0,YEAR(TbRegistroEntradas[[#This Row],[Data da Competência]]))</f>
        <v>2019</v>
      </c>
      <c r="M235" s="14">
        <f>IF(TbRegistroEntradas[[#This Row],[Data do Caixa Previsto]]="",0,MONTH(TbRegistroEntradas[[#This Row],[Data do Caixa Previsto]]))</f>
        <v>7</v>
      </c>
      <c r="N235" s="14">
        <f>IF(TbRegistroEntradas[[#This Row],[Data do Caixa Previsto]]="",0,YEAR(TbRegistroEntradas[[#This Row],[Data do Caixa Previsto]]))</f>
        <v>2019</v>
      </c>
      <c r="O235" s="14" t="str">
        <f>IF(TbRegistroEntradas[[#This Row],[Data da Competência]]=TbRegistroEntradas[[#This Row],[Data do Caixa Previsto]],"Vista","Prazo")</f>
        <v>Prazo</v>
      </c>
      <c r="P235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1731.731398697244</v>
      </c>
      <c r="Q235" s="14" t="str">
        <f ca="1">IF(AND(TbRegistroEntradas[[#This Row],[Data do Caixa Previsto]]&lt;TODAY(),TbRegistroEntradas[[#This Row],[Data do Caixa Realizado]]=""),"Vencida","Não vencida")</f>
        <v>Vencida</v>
      </c>
    </row>
    <row r="236" spans="2:17" x14ac:dyDescent="0.25">
      <c r="B236" s="13">
        <v>43727.35674683658</v>
      </c>
      <c r="C236" s="13">
        <v>43645</v>
      </c>
      <c r="D236" s="13"/>
      <c r="E236" s="14" t="s">
        <v>0</v>
      </c>
      <c r="F236" s="14" t="s">
        <v>24</v>
      </c>
      <c r="G236" s="14" t="s">
        <v>312</v>
      </c>
      <c r="H236" s="15">
        <v>3446</v>
      </c>
      <c r="I236" s="14">
        <f>IF(TbRegistroEntradas[[#This Row],[Data do Caixa Realizado]]="",0,MONTH(TbRegistroEntradas[[#This Row],[Data do Caixa Realizado]]))</f>
        <v>9</v>
      </c>
      <c r="J236" s="14">
        <f>IF(TbRegistroEntradas[[#This Row],[Data do Caixa Realizado]]="",0,YEAR(TbRegistroEntradas[[#This Row],[Data do Caixa Realizado]]))</f>
        <v>2019</v>
      </c>
      <c r="K236" s="14">
        <f>IF(TbRegistroEntradas[[#This Row],[Data da Competência]]="",0,MONTH(TbRegistroEntradas[[#This Row],[Data da Competência]]))</f>
        <v>6</v>
      </c>
      <c r="L236" s="14">
        <f>IF(TbRegistroEntradas[[#This Row],[Data da Competência]]="",0,YEAR(TbRegistroEntradas[[#This Row],[Data da Competência]]))</f>
        <v>2019</v>
      </c>
      <c r="M236" s="14">
        <f>IF(TbRegistroEntradas[[#This Row],[Data do Caixa Previsto]]="",0,MONTH(TbRegistroEntradas[[#This Row],[Data do Caixa Previsto]]))</f>
        <v>0</v>
      </c>
      <c r="N236" s="14">
        <f>IF(TbRegistroEntradas[[#This Row],[Data do Caixa Previsto]]="",0,YEAR(TbRegistroEntradas[[#This Row],[Data do Caixa Previsto]]))</f>
        <v>0</v>
      </c>
      <c r="O236" s="14" t="str">
        <f>IF(TbRegistroEntradas[[#This Row],[Data da Competência]]=TbRegistroEntradas[[#This Row],[Data do Caixa Previsto]],"Vista","Prazo")</f>
        <v>Prazo</v>
      </c>
      <c r="P236" s="113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43727.35674683658</v>
      </c>
      <c r="Q236" s="14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3">
    <dataValidation type="list" allowBlank="1" showInputMessage="1" showErrorMessage="1" sqref="F6:F236">
      <formula1>OFFSET(pcEntradasN2N2,MATCH(E6,PcEntradasN2N1,0)-1,0,COUNTIF(PcEntradasN2N1,E6))</formula1>
    </dataValidation>
    <dataValidation type="list" allowBlank="1" showInputMessage="1" showErrorMessage="1" sqref="F237">
      <formula1>OFFSET(pcEntradasN2N2,MATCH(E6,PcEntradasN2N1,0)-1,0,COUNTIF(PcEntradasN2N1,E6))</formula1>
    </dataValidation>
    <dataValidation type="list" allowBlank="1" showInputMessage="1" showErrorMessage="1" sqref="E6:E236">
      <formula1>PcEntradasN1</formula1>
    </dataValidation>
  </dataValidations>
  <pageMargins left="0.511811024" right="0.511811024" top="0.78740157499999996" bottom="0.78740157499999996" header="0.31496062000000002" footer="0.31496062000000002"/>
  <ignoredErrors>
    <ignoredError sqref="F8 F9:F14" listDataValidation="1"/>
  </ignoredErrors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showGridLines="0" workbookViewId="0">
      <pane ySplit="5" topLeftCell="A6" activePane="bottomLeft" state="frozen"/>
      <selection pane="bottomLeft" activeCell="I1" sqref="I1:O1048576"/>
    </sheetView>
  </sheetViews>
  <sheetFormatPr defaultColWidth="0" defaultRowHeight="15" x14ac:dyDescent="0.25"/>
  <cols>
    <col min="1" max="1" width="3.28515625" customWidth="1"/>
    <col min="2" max="4" width="17.7109375" customWidth="1"/>
    <col min="5" max="5" width="31.42578125" customWidth="1"/>
    <col min="6" max="6" width="40.140625" customWidth="1"/>
    <col min="7" max="7" width="41.140625" customWidth="1"/>
    <col min="8" max="8" width="18.140625" customWidth="1"/>
    <col min="9" max="14" width="11.7109375" hidden="1" customWidth="1"/>
    <col min="15" max="15" width="9.140625" hidden="1" customWidth="1"/>
    <col min="16" max="16384" width="9.140625" hidden="1"/>
  </cols>
  <sheetData>
    <row r="1" spans="2:15" ht="45" customHeight="1" x14ac:dyDescent="0.25">
      <c r="B1" s="6"/>
      <c r="C1" s="6"/>
      <c r="D1" s="6"/>
      <c r="E1" s="6"/>
      <c r="F1" s="6"/>
      <c r="G1" s="6"/>
      <c r="H1" s="7" t="s">
        <v>82</v>
      </c>
    </row>
    <row r="2" spans="2:15" ht="39.950000000000003" customHeight="1" x14ac:dyDescent="0.25">
      <c r="B2" s="5"/>
      <c r="C2" s="5"/>
      <c r="D2" s="5"/>
      <c r="E2" s="5"/>
      <c r="F2" s="5"/>
      <c r="G2" s="5"/>
      <c r="H2" s="5"/>
    </row>
    <row r="3" spans="2:15" ht="20.100000000000001" customHeight="1" x14ac:dyDescent="0.25"/>
    <row r="4" spans="2:15" ht="20.100000000000001" customHeight="1" x14ac:dyDescent="0.25"/>
    <row r="5" spans="2:15" ht="33.950000000000003" customHeight="1" thickBot="1" x14ac:dyDescent="0.3">
      <c r="B5" s="22" t="s">
        <v>9</v>
      </c>
      <c r="C5" s="22" t="s">
        <v>7</v>
      </c>
      <c r="D5" s="22" t="s">
        <v>8</v>
      </c>
      <c r="E5" s="23" t="s">
        <v>10</v>
      </c>
      <c r="F5" s="23" t="s">
        <v>11</v>
      </c>
      <c r="G5" s="23" t="s">
        <v>12</v>
      </c>
      <c r="H5" s="24" t="s">
        <v>13</v>
      </c>
      <c r="I5" s="23" t="s">
        <v>560</v>
      </c>
      <c r="J5" s="23" t="s">
        <v>561</v>
      </c>
      <c r="K5" s="22" t="s">
        <v>562</v>
      </c>
      <c r="L5" s="22" t="s">
        <v>563</v>
      </c>
      <c r="M5" s="22" t="s">
        <v>571</v>
      </c>
      <c r="N5" s="22" t="s">
        <v>572</v>
      </c>
      <c r="O5" s="22" t="s">
        <v>614</v>
      </c>
    </row>
    <row r="6" spans="2:15" ht="20.100000000000001" hidden="1" customHeight="1" x14ac:dyDescent="0.25">
      <c r="B6" s="20">
        <v>43015.689099944895</v>
      </c>
      <c r="C6" s="20">
        <v>42957</v>
      </c>
      <c r="D6" s="20">
        <v>43015.689099944895</v>
      </c>
      <c r="E6" s="21" t="s">
        <v>16</v>
      </c>
      <c r="F6" s="21" t="s">
        <v>49</v>
      </c>
      <c r="G6" s="21" t="s">
        <v>313</v>
      </c>
      <c r="H6" s="25">
        <v>4021</v>
      </c>
      <c r="I6" s="21">
        <f>IF(TbRegistrosSaida[[#This Row],[Data do Caixa Realizado]]="",0,MONTH(TbRegistrosSaida[[#This Row],[Data do Caixa Realizado]]))</f>
        <v>10</v>
      </c>
      <c r="J6" s="21">
        <f>IF(TbRegistrosSaida[[#This Row],[Data do Caixa Realizado]]="",0,YEAR(TbRegistrosSaida[[#This Row],[Data do Caixa Realizado]]))</f>
        <v>2017</v>
      </c>
      <c r="K6" s="21">
        <f>IF(TbRegistrosSaida[[#This Row],[Data da Competência]]="",0,MONTH(TbRegistrosSaida[[#This Row],[Data da Competência]]))</f>
        <v>8</v>
      </c>
      <c r="L6" s="21">
        <f>IF(TbRegistrosSaida[[#This Row],[Data da Competência]]="",0,YEAR(TbRegistrosSaida[[#This Row],[Data da Competência]]))</f>
        <v>2017</v>
      </c>
      <c r="M6" s="57">
        <f>IF(TbRegistrosSaida[[#This Row],[Data do Caixa Previsto]]="",0,MONTH(TbRegistrosSaida[[#This Row],[Data do Caixa Previsto]]))</f>
        <v>10</v>
      </c>
      <c r="N6" s="58">
        <f>IF(TbRegistrosSaida[[#This Row],[Data do Caixa Previsto]]="",0,YEAR(TbRegistrosSaida[[#This Row],[Data do Caixa Previsto]]))</f>
        <v>2017</v>
      </c>
      <c r="O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" spans="2:15" ht="20.100000000000001" hidden="1" customHeight="1" x14ac:dyDescent="0.25">
      <c r="B7" s="20">
        <v>42995.83151981284</v>
      </c>
      <c r="C7" s="20">
        <v>42960</v>
      </c>
      <c r="D7" s="20">
        <v>42995.83151981284</v>
      </c>
      <c r="E7" s="21" t="s">
        <v>16</v>
      </c>
      <c r="F7" s="21" t="s">
        <v>77</v>
      </c>
      <c r="G7" s="21" t="s">
        <v>314</v>
      </c>
      <c r="H7" s="25">
        <v>651</v>
      </c>
      <c r="I7" s="21">
        <f>IF(TbRegistrosSaida[[#This Row],[Data do Caixa Realizado]]="",0,MONTH(TbRegistrosSaida[[#This Row],[Data do Caixa Realizado]]))</f>
        <v>9</v>
      </c>
      <c r="J7" s="21">
        <f>IF(TbRegistrosSaida[[#This Row],[Data do Caixa Realizado]]="",0,YEAR(TbRegistrosSaida[[#This Row],[Data do Caixa Realizado]]))</f>
        <v>2017</v>
      </c>
      <c r="K7" s="21">
        <f>IF(TbRegistrosSaida[[#This Row],[Data da Competência]]="",0,MONTH(TbRegistrosSaida[[#This Row],[Data da Competência]]))</f>
        <v>8</v>
      </c>
      <c r="L7" s="21">
        <f>IF(TbRegistrosSaida[[#This Row],[Data da Competência]]="",0,YEAR(TbRegistrosSaida[[#This Row],[Data da Competência]]))</f>
        <v>2017</v>
      </c>
      <c r="M7" s="57">
        <f>IF(TbRegistrosSaida[[#This Row],[Data do Caixa Previsto]]="",0,MONTH(TbRegistrosSaida[[#This Row],[Data do Caixa Previsto]]))</f>
        <v>9</v>
      </c>
      <c r="N7" s="58">
        <f>IF(TbRegistrosSaida[[#This Row],[Data do Caixa Previsto]]="",0,YEAR(TbRegistrosSaida[[#This Row],[Data do Caixa Previsto]]))</f>
        <v>2017</v>
      </c>
      <c r="O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" spans="2:15" ht="20.100000000000001" hidden="1" customHeight="1" x14ac:dyDescent="0.25">
      <c r="B8" s="20">
        <v>42983.821864178215</v>
      </c>
      <c r="C8" s="20">
        <v>42965</v>
      </c>
      <c r="D8" s="20">
        <v>42983.821864178215</v>
      </c>
      <c r="E8" s="21" t="s">
        <v>16</v>
      </c>
      <c r="F8" s="21" t="s">
        <v>49</v>
      </c>
      <c r="G8" s="21" t="s">
        <v>315</v>
      </c>
      <c r="H8" s="25">
        <v>131</v>
      </c>
      <c r="I8" s="21">
        <f>IF(TbRegistrosSaida[[#This Row],[Data do Caixa Realizado]]="",0,MONTH(TbRegistrosSaida[[#This Row],[Data do Caixa Realizado]]))</f>
        <v>9</v>
      </c>
      <c r="J8" s="21">
        <f>IF(TbRegistrosSaida[[#This Row],[Data do Caixa Realizado]]="",0,YEAR(TbRegistrosSaida[[#This Row],[Data do Caixa Realizado]]))</f>
        <v>2017</v>
      </c>
      <c r="K8" s="21">
        <f>IF(TbRegistrosSaida[[#This Row],[Data da Competência]]="",0,MONTH(TbRegistrosSaida[[#This Row],[Data da Competência]]))</f>
        <v>8</v>
      </c>
      <c r="L8" s="21">
        <f>IF(TbRegistrosSaida[[#This Row],[Data da Competência]]="",0,YEAR(TbRegistrosSaida[[#This Row],[Data da Competência]]))</f>
        <v>2017</v>
      </c>
      <c r="M8" s="57">
        <f>IF(TbRegistrosSaida[[#This Row],[Data do Caixa Previsto]]="",0,MONTH(TbRegistrosSaida[[#This Row],[Data do Caixa Previsto]]))</f>
        <v>9</v>
      </c>
      <c r="N8" s="58">
        <f>IF(TbRegistrosSaida[[#This Row],[Data do Caixa Previsto]]="",0,YEAR(TbRegistrosSaida[[#This Row],[Data do Caixa Previsto]]))</f>
        <v>2017</v>
      </c>
      <c r="O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" spans="2:15" ht="20.100000000000001" hidden="1" customHeight="1" x14ac:dyDescent="0.25">
      <c r="B9" s="20">
        <v>43004.400385589004</v>
      </c>
      <c r="C9" s="20">
        <v>42970</v>
      </c>
      <c r="D9" s="20">
        <v>43004.400385589004</v>
      </c>
      <c r="E9" s="21" t="s">
        <v>16</v>
      </c>
      <c r="F9" s="21" t="s">
        <v>49</v>
      </c>
      <c r="G9" s="21" t="s">
        <v>316</v>
      </c>
      <c r="H9" s="25">
        <v>803</v>
      </c>
      <c r="I9" s="21">
        <f>IF(TbRegistrosSaida[[#This Row],[Data do Caixa Realizado]]="",0,MONTH(TbRegistrosSaida[[#This Row],[Data do Caixa Realizado]]))</f>
        <v>9</v>
      </c>
      <c r="J9" s="21">
        <f>IF(TbRegistrosSaida[[#This Row],[Data do Caixa Realizado]]="",0,YEAR(TbRegistrosSaida[[#This Row],[Data do Caixa Realizado]]))</f>
        <v>2017</v>
      </c>
      <c r="K9" s="21">
        <f>IF(TbRegistrosSaida[[#This Row],[Data da Competência]]="",0,MONTH(TbRegistrosSaida[[#This Row],[Data da Competência]]))</f>
        <v>8</v>
      </c>
      <c r="L9" s="21">
        <f>IF(TbRegistrosSaida[[#This Row],[Data da Competência]]="",0,YEAR(TbRegistrosSaida[[#This Row],[Data da Competência]]))</f>
        <v>2017</v>
      </c>
      <c r="M9" s="57">
        <f>IF(TbRegistrosSaida[[#This Row],[Data do Caixa Previsto]]="",0,MONTH(TbRegistrosSaida[[#This Row],[Data do Caixa Previsto]]))</f>
        <v>9</v>
      </c>
      <c r="N9" s="58">
        <f>IF(TbRegistrosSaida[[#This Row],[Data do Caixa Previsto]]="",0,YEAR(TbRegistrosSaida[[#This Row],[Data do Caixa Previsto]]))</f>
        <v>2017</v>
      </c>
      <c r="O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" spans="2:15" ht="20.100000000000001" hidden="1" customHeight="1" x14ac:dyDescent="0.25">
      <c r="B10" s="20">
        <v>43002.058153394239</v>
      </c>
      <c r="C10" s="20">
        <v>42971</v>
      </c>
      <c r="D10" s="20">
        <v>43002.058153394239</v>
      </c>
      <c r="E10" s="21" t="s">
        <v>16</v>
      </c>
      <c r="F10" s="21" t="s">
        <v>77</v>
      </c>
      <c r="G10" s="21" t="s">
        <v>317</v>
      </c>
      <c r="H10" s="25">
        <v>4460</v>
      </c>
      <c r="I10" s="21">
        <f>IF(TbRegistrosSaida[[#This Row],[Data do Caixa Realizado]]="",0,MONTH(TbRegistrosSaida[[#This Row],[Data do Caixa Realizado]]))</f>
        <v>9</v>
      </c>
      <c r="J10" s="21">
        <f>IF(TbRegistrosSaida[[#This Row],[Data do Caixa Realizado]]="",0,YEAR(TbRegistrosSaida[[#This Row],[Data do Caixa Realizado]]))</f>
        <v>2017</v>
      </c>
      <c r="K10" s="21">
        <f>IF(TbRegistrosSaida[[#This Row],[Data da Competência]]="",0,MONTH(TbRegistrosSaida[[#This Row],[Data da Competência]]))</f>
        <v>8</v>
      </c>
      <c r="L10" s="21">
        <f>IF(TbRegistrosSaida[[#This Row],[Data da Competência]]="",0,YEAR(TbRegistrosSaida[[#This Row],[Data da Competência]]))</f>
        <v>2017</v>
      </c>
      <c r="M10" s="57">
        <f>IF(TbRegistrosSaida[[#This Row],[Data do Caixa Previsto]]="",0,MONTH(TbRegistrosSaida[[#This Row],[Data do Caixa Previsto]]))</f>
        <v>9</v>
      </c>
      <c r="N10" s="58">
        <f>IF(TbRegistrosSaida[[#This Row],[Data do Caixa Previsto]]="",0,YEAR(TbRegistrosSaida[[#This Row],[Data do Caixa Previsto]]))</f>
        <v>2017</v>
      </c>
      <c r="O1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" spans="2:15" ht="20.100000000000001" hidden="1" customHeight="1" x14ac:dyDescent="0.25">
      <c r="B11" s="20">
        <v>42980.358785052202</v>
      </c>
      <c r="C11" s="20">
        <v>42972</v>
      </c>
      <c r="D11" s="20">
        <v>42980.358785052202</v>
      </c>
      <c r="E11" s="21" t="s">
        <v>16</v>
      </c>
      <c r="F11" s="21" t="s">
        <v>3</v>
      </c>
      <c r="G11" s="21" t="s">
        <v>318</v>
      </c>
      <c r="H11" s="25">
        <v>299</v>
      </c>
      <c r="I11" s="21">
        <f>IF(TbRegistrosSaida[[#This Row],[Data do Caixa Realizado]]="",0,MONTH(TbRegistrosSaida[[#This Row],[Data do Caixa Realizado]]))</f>
        <v>9</v>
      </c>
      <c r="J11" s="21">
        <f>IF(TbRegistrosSaida[[#This Row],[Data do Caixa Realizado]]="",0,YEAR(TbRegistrosSaida[[#This Row],[Data do Caixa Realizado]]))</f>
        <v>2017</v>
      </c>
      <c r="K11" s="21">
        <f>IF(TbRegistrosSaida[[#This Row],[Data da Competência]]="",0,MONTH(TbRegistrosSaida[[#This Row],[Data da Competência]]))</f>
        <v>8</v>
      </c>
      <c r="L11" s="21">
        <f>IF(TbRegistrosSaida[[#This Row],[Data da Competência]]="",0,YEAR(TbRegistrosSaida[[#This Row],[Data da Competência]]))</f>
        <v>2017</v>
      </c>
      <c r="M11" s="57">
        <f>IF(TbRegistrosSaida[[#This Row],[Data do Caixa Previsto]]="",0,MONTH(TbRegistrosSaida[[#This Row],[Data do Caixa Previsto]]))</f>
        <v>9</v>
      </c>
      <c r="N11" s="58">
        <f>IF(TbRegistrosSaida[[#This Row],[Data do Caixa Previsto]]="",0,YEAR(TbRegistrosSaida[[#This Row],[Data do Caixa Previsto]]))</f>
        <v>2017</v>
      </c>
      <c r="O1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" spans="2:15" ht="20.100000000000001" hidden="1" customHeight="1" x14ac:dyDescent="0.25">
      <c r="B12" s="20">
        <v>43014.597468673528</v>
      </c>
      <c r="C12" s="20">
        <v>42976</v>
      </c>
      <c r="D12" s="20">
        <v>43014.597468673528</v>
      </c>
      <c r="E12" s="21" t="s">
        <v>16</v>
      </c>
      <c r="F12" s="21" t="s">
        <v>77</v>
      </c>
      <c r="G12" s="21" t="s">
        <v>319</v>
      </c>
      <c r="H12" s="25">
        <v>618</v>
      </c>
      <c r="I12" s="21">
        <f>IF(TbRegistrosSaida[[#This Row],[Data do Caixa Realizado]]="",0,MONTH(TbRegistrosSaida[[#This Row],[Data do Caixa Realizado]]))</f>
        <v>10</v>
      </c>
      <c r="J12" s="21">
        <f>IF(TbRegistrosSaida[[#This Row],[Data do Caixa Realizado]]="",0,YEAR(TbRegistrosSaida[[#This Row],[Data do Caixa Realizado]]))</f>
        <v>2017</v>
      </c>
      <c r="K12" s="21">
        <f>IF(TbRegistrosSaida[[#This Row],[Data da Competência]]="",0,MONTH(TbRegistrosSaida[[#This Row],[Data da Competência]]))</f>
        <v>8</v>
      </c>
      <c r="L12" s="21">
        <f>IF(TbRegistrosSaida[[#This Row],[Data da Competência]]="",0,YEAR(TbRegistrosSaida[[#This Row],[Data da Competência]]))</f>
        <v>2017</v>
      </c>
      <c r="M12" s="57">
        <f>IF(TbRegistrosSaida[[#This Row],[Data do Caixa Previsto]]="",0,MONTH(TbRegistrosSaida[[#This Row],[Data do Caixa Previsto]]))</f>
        <v>10</v>
      </c>
      <c r="N12" s="58">
        <f>IF(TbRegistrosSaida[[#This Row],[Data do Caixa Previsto]]="",0,YEAR(TbRegistrosSaida[[#This Row],[Data do Caixa Previsto]]))</f>
        <v>2017</v>
      </c>
      <c r="O1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" spans="2:15" ht="20.100000000000001" hidden="1" customHeight="1" x14ac:dyDescent="0.25">
      <c r="B13" s="20">
        <v>42990.1117348099</v>
      </c>
      <c r="C13" s="20">
        <v>42979</v>
      </c>
      <c r="D13" s="20">
        <v>42980.556611132772</v>
      </c>
      <c r="E13" s="21" t="s">
        <v>16</v>
      </c>
      <c r="F13" s="21" t="s">
        <v>77</v>
      </c>
      <c r="G13" s="21" t="s">
        <v>139</v>
      </c>
      <c r="H13" s="25">
        <v>2505</v>
      </c>
      <c r="I13" s="21">
        <f>IF(TbRegistrosSaida[[#This Row],[Data do Caixa Realizado]]="",0,MONTH(TbRegistrosSaida[[#This Row],[Data do Caixa Realizado]]))</f>
        <v>9</v>
      </c>
      <c r="J13" s="21">
        <f>IF(TbRegistrosSaida[[#This Row],[Data do Caixa Realizado]]="",0,YEAR(TbRegistrosSaida[[#This Row],[Data do Caixa Realizado]]))</f>
        <v>2017</v>
      </c>
      <c r="K13" s="21">
        <f>IF(TbRegistrosSaida[[#This Row],[Data da Competência]]="",0,MONTH(TbRegistrosSaida[[#This Row],[Data da Competência]]))</f>
        <v>9</v>
      </c>
      <c r="L13" s="21">
        <f>IF(TbRegistrosSaida[[#This Row],[Data da Competência]]="",0,YEAR(TbRegistrosSaida[[#This Row],[Data da Competência]]))</f>
        <v>2017</v>
      </c>
      <c r="M13" s="57">
        <f>IF(TbRegistrosSaida[[#This Row],[Data do Caixa Previsto]]="",0,MONTH(TbRegistrosSaida[[#This Row],[Data do Caixa Previsto]]))</f>
        <v>9</v>
      </c>
      <c r="N13" s="58">
        <f>IF(TbRegistrosSaida[[#This Row],[Data do Caixa Previsto]]="",0,YEAR(TbRegistrosSaida[[#This Row],[Data do Caixa Previsto]]))</f>
        <v>2017</v>
      </c>
      <c r="O1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9.5551236771279946</v>
      </c>
    </row>
    <row r="14" spans="2:15" ht="20.100000000000001" hidden="1" customHeight="1" x14ac:dyDescent="0.25">
      <c r="B14" s="20">
        <v>42987.417576127409</v>
      </c>
      <c r="C14" s="20">
        <v>42982</v>
      </c>
      <c r="D14" s="20">
        <v>42987.417576127409</v>
      </c>
      <c r="E14" s="21" t="s">
        <v>16</v>
      </c>
      <c r="F14" s="21" t="s">
        <v>49</v>
      </c>
      <c r="G14" s="21" t="s">
        <v>320</v>
      </c>
      <c r="H14" s="25">
        <v>817</v>
      </c>
      <c r="I14" s="21">
        <f>IF(TbRegistrosSaida[[#This Row],[Data do Caixa Realizado]]="",0,MONTH(TbRegistrosSaida[[#This Row],[Data do Caixa Realizado]]))</f>
        <v>9</v>
      </c>
      <c r="J14" s="21">
        <f>IF(TbRegistrosSaida[[#This Row],[Data do Caixa Realizado]]="",0,YEAR(TbRegistrosSaida[[#This Row],[Data do Caixa Realizado]]))</f>
        <v>2017</v>
      </c>
      <c r="K14" s="21">
        <f>IF(TbRegistrosSaida[[#This Row],[Data da Competência]]="",0,MONTH(TbRegistrosSaida[[#This Row],[Data da Competência]]))</f>
        <v>9</v>
      </c>
      <c r="L14" s="21">
        <f>IF(TbRegistrosSaida[[#This Row],[Data da Competência]]="",0,YEAR(TbRegistrosSaida[[#This Row],[Data da Competência]]))</f>
        <v>2017</v>
      </c>
      <c r="M14" s="57">
        <f>IF(TbRegistrosSaida[[#This Row],[Data do Caixa Previsto]]="",0,MONTH(TbRegistrosSaida[[#This Row],[Data do Caixa Previsto]]))</f>
        <v>9</v>
      </c>
      <c r="N14" s="58">
        <f>IF(TbRegistrosSaida[[#This Row],[Data do Caixa Previsto]]="",0,YEAR(TbRegistrosSaida[[#This Row],[Data do Caixa Previsto]]))</f>
        <v>2017</v>
      </c>
      <c r="O1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" spans="2:15" ht="20.100000000000001" hidden="1" customHeight="1" x14ac:dyDescent="0.25">
      <c r="B15" s="20" t="s">
        <v>92</v>
      </c>
      <c r="C15" s="20">
        <v>42984</v>
      </c>
      <c r="D15" s="20">
        <v>42984.703005901203</v>
      </c>
      <c r="E15" s="21" t="s">
        <v>16</v>
      </c>
      <c r="F15" s="21" t="s">
        <v>3</v>
      </c>
      <c r="G15" s="21" t="s">
        <v>321</v>
      </c>
      <c r="H15" s="25">
        <v>1565</v>
      </c>
      <c r="I15" s="21">
        <f>IF(TbRegistrosSaida[[#This Row],[Data do Caixa Realizado]]="",0,MONTH(TbRegistrosSaida[[#This Row],[Data do Caixa Realizado]]))</f>
        <v>0</v>
      </c>
      <c r="J15" s="21">
        <f>IF(TbRegistrosSaida[[#This Row],[Data do Caixa Realizado]]="",0,YEAR(TbRegistrosSaida[[#This Row],[Data do Caixa Realizado]]))</f>
        <v>0</v>
      </c>
      <c r="K15" s="21">
        <f>IF(TbRegistrosSaida[[#This Row],[Data da Competência]]="",0,MONTH(TbRegistrosSaida[[#This Row],[Data da Competência]]))</f>
        <v>9</v>
      </c>
      <c r="L15" s="21">
        <f>IF(TbRegistrosSaida[[#This Row],[Data da Competência]]="",0,YEAR(TbRegistrosSaida[[#This Row],[Data da Competência]]))</f>
        <v>2017</v>
      </c>
      <c r="M15" s="57">
        <f>IF(TbRegistrosSaida[[#This Row],[Data do Caixa Previsto]]="",0,MONTH(TbRegistrosSaida[[#This Row],[Data do Caixa Previsto]]))</f>
        <v>9</v>
      </c>
      <c r="N15" s="58">
        <f>IF(TbRegistrosSaida[[#This Row],[Data do Caixa Previsto]]="",0,YEAR(TbRegistrosSaida[[#This Row],[Data do Caixa Previsto]]))</f>
        <v>2017</v>
      </c>
      <c r="O1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2409.2969940987969</v>
      </c>
    </row>
    <row r="16" spans="2:15" ht="20.100000000000001" hidden="1" customHeight="1" x14ac:dyDescent="0.25">
      <c r="B16" s="20" t="s">
        <v>92</v>
      </c>
      <c r="C16" s="20">
        <v>42990</v>
      </c>
      <c r="D16" s="20">
        <v>43020.233591992961</v>
      </c>
      <c r="E16" s="21" t="s">
        <v>16</v>
      </c>
      <c r="F16" s="21" t="s">
        <v>5</v>
      </c>
      <c r="G16" s="21" t="s">
        <v>322</v>
      </c>
      <c r="H16" s="25">
        <v>1357</v>
      </c>
      <c r="I16" s="21">
        <f>IF(TbRegistrosSaida[[#This Row],[Data do Caixa Realizado]]="",0,MONTH(TbRegistrosSaida[[#This Row],[Data do Caixa Realizado]]))</f>
        <v>0</v>
      </c>
      <c r="J16" s="21">
        <f>IF(TbRegistrosSaida[[#This Row],[Data do Caixa Realizado]]="",0,YEAR(TbRegistrosSaida[[#This Row],[Data do Caixa Realizado]]))</f>
        <v>0</v>
      </c>
      <c r="K16" s="21">
        <f>IF(TbRegistrosSaida[[#This Row],[Data da Competência]]="",0,MONTH(TbRegistrosSaida[[#This Row],[Data da Competência]]))</f>
        <v>9</v>
      </c>
      <c r="L16" s="21">
        <f>IF(TbRegistrosSaida[[#This Row],[Data da Competência]]="",0,YEAR(TbRegistrosSaida[[#This Row],[Data da Competência]]))</f>
        <v>2017</v>
      </c>
      <c r="M16" s="57">
        <f>IF(TbRegistrosSaida[[#This Row],[Data do Caixa Previsto]]="",0,MONTH(TbRegistrosSaida[[#This Row],[Data do Caixa Previsto]]))</f>
        <v>10</v>
      </c>
      <c r="N16" s="58">
        <f>IF(TbRegistrosSaida[[#This Row],[Data do Caixa Previsto]]="",0,YEAR(TbRegistrosSaida[[#This Row],[Data do Caixa Previsto]]))</f>
        <v>2017</v>
      </c>
      <c r="O1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2373.766408007039</v>
      </c>
    </row>
    <row r="17" spans="2:15" hidden="1" x14ac:dyDescent="0.25">
      <c r="B17" s="20">
        <v>43025.32782899923</v>
      </c>
      <c r="C17" s="20">
        <v>42991</v>
      </c>
      <c r="D17" s="20">
        <v>43025.32782899923</v>
      </c>
      <c r="E17" s="21" t="s">
        <v>16</v>
      </c>
      <c r="F17" s="21" t="s">
        <v>5</v>
      </c>
      <c r="G17" s="21" t="s">
        <v>323</v>
      </c>
      <c r="H17" s="25">
        <v>4739</v>
      </c>
      <c r="I17" s="21">
        <f>IF(TbRegistrosSaida[[#This Row],[Data do Caixa Realizado]]="",0,MONTH(TbRegistrosSaida[[#This Row],[Data do Caixa Realizado]]))</f>
        <v>10</v>
      </c>
      <c r="J17" s="21">
        <f>IF(TbRegistrosSaida[[#This Row],[Data do Caixa Realizado]]="",0,YEAR(TbRegistrosSaida[[#This Row],[Data do Caixa Realizado]]))</f>
        <v>2017</v>
      </c>
      <c r="K17" s="21">
        <f>IF(TbRegistrosSaida[[#This Row],[Data da Competência]]="",0,MONTH(TbRegistrosSaida[[#This Row],[Data da Competência]]))</f>
        <v>9</v>
      </c>
      <c r="L17" s="21">
        <f>IF(TbRegistrosSaida[[#This Row],[Data da Competência]]="",0,YEAR(TbRegistrosSaida[[#This Row],[Data da Competência]]))</f>
        <v>2017</v>
      </c>
      <c r="M17" s="57">
        <f>IF(TbRegistrosSaida[[#This Row],[Data do Caixa Previsto]]="",0,MONTH(TbRegistrosSaida[[#This Row],[Data do Caixa Previsto]]))</f>
        <v>10</v>
      </c>
      <c r="N17" s="58">
        <f>IF(TbRegistrosSaida[[#This Row],[Data do Caixa Previsto]]="",0,YEAR(TbRegistrosSaida[[#This Row],[Data do Caixa Previsto]]))</f>
        <v>2017</v>
      </c>
      <c r="O1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" spans="2:15" hidden="1" x14ac:dyDescent="0.25">
      <c r="B18" s="20">
        <v>43008.599150206064</v>
      </c>
      <c r="C18" s="20">
        <v>42992</v>
      </c>
      <c r="D18" s="20">
        <v>43008.599150206064</v>
      </c>
      <c r="E18" s="21" t="s">
        <v>16</v>
      </c>
      <c r="F18" s="21" t="s">
        <v>49</v>
      </c>
      <c r="G18" s="21" t="s">
        <v>324</v>
      </c>
      <c r="H18" s="25">
        <v>4675</v>
      </c>
      <c r="I18" s="21">
        <f>IF(TbRegistrosSaida[[#This Row],[Data do Caixa Realizado]]="",0,MONTH(TbRegistrosSaida[[#This Row],[Data do Caixa Realizado]]))</f>
        <v>9</v>
      </c>
      <c r="J18" s="21">
        <f>IF(TbRegistrosSaida[[#This Row],[Data do Caixa Realizado]]="",0,YEAR(TbRegistrosSaida[[#This Row],[Data do Caixa Realizado]]))</f>
        <v>2017</v>
      </c>
      <c r="K18" s="21">
        <f>IF(TbRegistrosSaida[[#This Row],[Data da Competência]]="",0,MONTH(TbRegistrosSaida[[#This Row],[Data da Competência]]))</f>
        <v>9</v>
      </c>
      <c r="L18" s="21">
        <f>IF(TbRegistrosSaida[[#This Row],[Data da Competência]]="",0,YEAR(TbRegistrosSaida[[#This Row],[Data da Competência]]))</f>
        <v>2017</v>
      </c>
      <c r="M18" s="57">
        <f>IF(TbRegistrosSaida[[#This Row],[Data do Caixa Previsto]]="",0,MONTH(TbRegistrosSaida[[#This Row],[Data do Caixa Previsto]]))</f>
        <v>9</v>
      </c>
      <c r="N18" s="58">
        <f>IF(TbRegistrosSaida[[#This Row],[Data do Caixa Previsto]]="",0,YEAR(TbRegistrosSaida[[#This Row],[Data do Caixa Previsto]]))</f>
        <v>2017</v>
      </c>
      <c r="O1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" spans="2:15" hidden="1" x14ac:dyDescent="0.25">
      <c r="B19" s="20">
        <v>43004.132052173023</v>
      </c>
      <c r="C19" s="20">
        <v>42997</v>
      </c>
      <c r="D19" s="20">
        <v>43004.132052173023</v>
      </c>
      <c r="E19" s="21" t="s">
        <v>16</v>
      </c>
      <c r="F19" s="21" t="s">
        <v>77</v>
      </c>
      <c r="G19" s="21" t="s">
        <v>325</v>
      </c>
      <c r="H19" s="25">
        <v>1797</v>
      </c>
      <c r="I19" s="21">
        <f>IF(TbRegistrosSaida[[#This Row],[Data do Caixa Realizado]]="",0,MONTH(TbRegistrosSaida[[#This Row],[Data do Caixa Realizado]]))</f>
        <v>9</v>
      </c>
      <c r="J19" s="21">
        <f>IF(TbRegistrosSaida[[#This Row],[Data do Caixa Realizado]]="",0,YEAR(TbRegistrosSaida[[#This Row],[Data do Caixa Realizado]]))</f>
        <v>2017</v>
      </c>
      <c r="K19" s="21">
        <f>IF(TbRegistrosSaida[[#This Row],[Data da Competência]]="",0,MONTH(TbRegistrosSaida[[#This Row],[Data da Competência]]))</f>
        <v>9</v>
      </c>
      <c r="L19" s="21">
        <f>IF(TbRegistrosSaida[[#This Row],[Data da Competência]]="",0,YEAR(TbRegistrosSaida[[#This Row],[Data da Competência]]))</f>
        <v>2017</v>
      </c>
      <c r="M19" s="57">
        <f>IF(TbRegistrosSaida[[#This Row],[Data do Caixa Previsto]]="",0,MONTH(TbRegistrosSaida[[#This Row],[Data do Caixa Previsto]]))</f>
        <v>9</v>
      </c>
      <c r="N19" s="58">
        <f>IF(TbRegistrosSaida[[#This Row],[Data do Caixa Previsto]]="",0,YEAR(TbRegistrosSaida[[#This Row],[Data do Caixa Previsto]]))</f>
        <v>2017</v>
      </c>
      <c r="O1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" spans="2:15" hidden="1" x14ac:dyDescent="0.25">
      <c r="B20" s="20">
        <v>43043.977578613987</v>
      </c>
      <c r="C20" s="20">
        <v>43002</v>
      </c>
      <c r="D20" s="20">
        <v>43043.977578613987</v>
      </c>
      <c r="E20" s="21" t="s">
        <v>16</v>
      </c>
      <c r="F20" s="21" t="s">
        <v>5</v>
      </c>
      <c r="G20" s="21" t="s">
        <v>326</v>
      </c>
      <c r="H20" s="25">
        <v>888</v>
      </c>
      <c r="I20" s="21">
        <f>IF(TbRegistrosSaida[[#This Row],[Data do Caixa Realizado]]="",0,MONTH(TbRegistrosSaida[[#This Row],[Data do Caixa Realizado]]))</f>
        <v>11</v>
      </c>
      <c r="J20" s="21">
        <f>IF(TbRegistrosSaida[[#This Row],[Data do Caixa Realizado]]="",0,YEAR(TbRegistrosSaida[[#This Row],[Data do Caixa Realizado]]))</f>
        <v>2017</v>
      </c>
      <c r="K20" s="21">
        <f>IF(TbRegistrosSaida[[#This Row],[Data da Competência]]="",0,MONTH(TbRegistrosSaida[[#This Row],[Data da Competência]]))</f>
        <v>9</v>
      </c>
      <c r="L20" s="21">
        <f>IF(TbRegistrosSaida[[#This Row],[Data da Competência]]="",0,YEAR(TbRegistrosSaida[[#This Row],[Data da Competência]]))</f>
        <v>2017</v>
      </c>
      <c r="M20" s="57">
        <f>IF(TbRegistrosSaida[[#This Row],[Data do Caixa Previsto]]="",0,MONTH(TbRegistrosSaida[[#This Row],[Data do Caixa Previsto]]))</f>
        <v>11</v>
      </c>
      <c r="N20" s="58">
        <f>IF(TbRegistrosSaida[[#This Row],[Data do Caixa Previsto]]="",0,YEAR(TbRegistrosSaida[[#This Row],[Data do Caixa Previsto]]))</f>
        <v>2017</v>
      </c>
      <c r="O2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" spans="2:15" hidden="1" x14ac:dyDescent="0.25">
      <c r="B21" s="20">
        <v>43015.898045269183</v>
      </c>
      <c r="C21" s="20">
        <v>43003</v>
      </c>
      <c r="D21" s="20">
        <v>43015.898045269183</v>
      </c>
      <c r="E21" s="21" t="s">
        <v>16</v>
      </c>
      <c r="F21" s="21" t="s">
        <v>77</v>
      </c>
      <c r="G21" s="21" t="s">
        <v>327</v>
      </c>
      <c r="H21" s="25">
        <v>2784</v>
      </c>
      <c r="I21" s="21">
        <f>IF(TbRegistrosSaida[[#This Row],[Data do Caixa Realizado]]="",0,MONTH(TbRegistrosSaida[[#This Row],[Data do Caixa Realizado]]))</f>
        <v>10</v>
      </c>
      <c r="J21" s="21">
        <f>IF(TbRegistrosSaida[[#This Row],[Data do Caixa Realizado]]="",0,YEAR(TbRegistrosSaida[[#This Row],[Data do Caixa Realizado]]))</f>
        <v>2017</v>
      </c>
      <c r="K21" s="21">
        <f>IF(TbRegistrosSaida[[#This Row],[Data da Competência]]="",0,MONTH(TbRegistrosSaida[[#This Row],[Data da Competência]]))</f>
        <v>9</v>
      </c>
      <c r="L21" s="21">
        <f>IF(TbRegistrosSaida[[#This Row],[Data da Competência]]="",0,YEAR(TbRegistrosSaida[[#This Row],[Data da Competência]]))</f>
        <v>2017</v>
      </c>
      <c r="M21" s="57">
        <f>IF(TbRegistrosSaida[[#This Row],[Data do Caixa Previsto]]="",0,MONTH(TbRegistrosSaida[[#This Row],[Data do Caixa Previsto]]))</f>
        <v>10</v>
      </c>
      <c r="N21" s="58">
        <f>IF(TbRegistrosSaida[[#This Row],[Data do Caixa Previsto]]="",0,YEAR(TbRegistrosSaida[[#This Row],[Data do Caixa Previsto]]))</f>
        <v>2017</v>
      </c>
      <c r="O2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" spans="2:15" hidden="1" x14ac:dyDescent="0.25">
      <c r="B22" s="20">
        <v>43010.944524159138</v>
      </c>
      <c r="C22" s="20">
        <v>43003</v>
      </c>
      <c r="D22" s="20">
        <v>43010.944524159138</v>
      </c>
      <c r="E22" s="21" t="s">
        <v>16</v>
      </c>
      <c r="F22" s="21" t="s">
        <v>3</v>
      </c>
      <c r="G22" s="21" t="s">
        <v>328</v>
      </c>
      <c r="H22" s="25">
        <v>707</v>
      </c>
      <c r="I22" s="21">
        <f>IF(TbRegistrosSaida[[#This Row],[Data do Caixa Realizado]]="",0,MONTH(TbRegistrosSaida[[#This Row],[Data do Caixa Realizado]]))</f>
        <v>10</v>
      </c>
      <c r="J22" s="21">
        <f>IF(TbRegistrosSaida[[#This Row],[Data do Caixa Realizado]]="",0,YEAR(TbRegistrosSaida[[#This Row],[Data do Caixa Realizado]]))</f>
        <v>2017</v>
      </c>
      <c r="K22" s="21">
        <f>IF(TbRegistrosSaida[[#This Row],[Data da Competência]]="",0,MONTH(TbRegistrosSaida[[#This Row],[Data da Competência]]))</f>
        <v>9</v>
      </c>
      <c r="L22" s="21">
        <f>IF(TbRegistrosSaida[[#This Row],[Data da Competência]]="",0,YEAR(TbRegistrosSaida[[#This Row],[Data da Competência]]))</f>
        <v>2017</v>
      </c>
      <c r="M22" s="57">
        <f>IF(TbRegistrosSaida[[#This Row],[Data do Caixa Previsto]]="",0,MONTH(TbRegistrosSaida[[#This Row],[Data do Caixa Previsto]]))</f>
        <v>10</v>
      </c>
      <c r="N22" s="58">
        <f>IF(TbRegistrosSaida[[#This Row],[Data do Caixa Previsto]]="",0,YEAR(TbRegistrosSaida[[#This Row],[Data do Caixa Previsto]]))</f>
        <v>2017</v>
      </c>
      <c r="O2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3" spans="2:15" hidden="1" x14ac:dyDescent="0.25">
      <c r="B23" s="20">
        <v>43118.867552272008</v>
      </c>
      <c r="C23" s="20">
        <v>43006</v>
      </c>
      <c r="D23" s="20">
        <v>43042.600768911587</v>
      </c>
      <c r="E23" s="21" t="s">
        <v>16</v>
      </c>
      <c r="F23" s="21" t="s">
        <v>3</v>
      </c>
      <c r="G23" s="21" t="s">
        <v>329</v>
      </c>
      <c r="H23" s="25">
        <v>229</v>
      </c>
      <c r="I23" s="21">
        <f>IF(TbRegistrosSaida[[#This Row],[Data do Caixa Realizado]]="",0,MONTH(TbRegistrosSaida[[#This Row],[Data do Caixa Realizado]]))</f>
        <v>1</v>
      </c>
      <c r="J23" s="21">
        <f>IF(TbRegistrosSaida[[#This Row],[Data do Caixa Realizado]]="",0,YEAR(TbRegistrosSaida[[#This Row],[Data do Caixa Realizado]]))</f>
        <v>2018</v>
      </c>
      <c r="K23" s="21">
        <f>IF(TbRegistrosSaida[[#This Row],[Data da Competência]]="",0,MONTH(TbRegistrosSaida[[#This Row],[Data da Competência]]))</f>
        <v>9</v>
      </c>
      <c r="L23" s="21">
        <f>IF(TbRegistrosSaida[[#This Row],[Data da Competência]]="",0,YEAR(TbRegistrosSaida[[#This Row],[Data da Competência]]))</f>
        <v>2017</v>
      </c>
      <c r="M23" s="57">
        <f>IF(TbRegistrosSaida[[#This Row],[Data do Caixa Previsto]]="",0,MONTH(TbRegistrosSaida[[#This Row],[Data do Caixa Previsto]]))</f>
        <v>11</v>
      </c>
      <c r="N23" s="58">
        <f>IF(TbRegistrosSaida[[#This Row],[Data do Caixa Previsto]]="",0,YEAR(TbRegistrosSaida[[#This Row],[Data do Caixa Previsto]]))</f>
        <v>2017</v>
      </c>
      <c r="O2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76.266783360420959</v>
      </c>
    </row>
    <row r="24" spans="2:15" hidden="1" x14ac:dyDescent="0.25">
      <c r="B24" s="20">
        <v>43059.310583292005</v>
      </c>
      <c r="C24" s="20">
        <v>43009</v>
      </c>
      <c r="D24" s="20">
        <v>43059.310583292005</v>
      </c>
      <c r="E24" s="21" t="s">
        <v>16</v>
      </c>
      <c r="F24" s="21" t="s">
        <v>77</v>
      </c>
      <c r="G24" s="21" t="s">
        <v>330</v>
      </c>
      <c r="H24" s="25">
        <v>2894</v>
      </c>
      <c r="I24" s="21">
        <f>IF(TbRegistrosSaida[[#This Row],[Data do Caixa Realizado]]="",0,MONTH(TbRegistrosSaida[[#This Row],[Data do Caixa Realizado]]))</f>
        <v>11</v>
      </c>
      <c r="J24" s="21">
        <f>IF(TbRegistrosSaida[[#This Row],[Data do Caixa Realizado]]="",0,YEAR(TbRegistrosSaida[[#This Row],[Data do Caixa Realizado]]))</f>
        <v>2017</v>
      </c>
      <c r="K24" s="21">
        <f>IF(TbRegistrosSaida[[#This Row],[Data da Competência]]="",0,MONTH(TbRegistrosSaida[[#This Row],[Data da Competência]]))</f>
        <v>10</v>
      </c>
      <c r="L24" s="21">
        <f>IF(TbRegistrosSaida[[#This Row],[Data da Competência]]="",0,YEAR(TbRegistrosSaida[[#This Row],[Data da Competência]]))</f>
        <v>2017</v>
      </c>
      <c r="M24" s="57">
        <f>IF(TbRegistrosSaida[[#This Row],[Data do Caixa Previsto]]="",0,MONTH(TbRegistrosSaida[[#This Row],[Data do Caixa Previsto]]))</f>
        <v>11</v>
      </c>
      <c r="N24" s="58">
        <f>IF(TbRegistrosSaida[[#This Row],[Data do Caixa Previsto]]="",0,YEAR(TbRegistrosSaida[[#This Row],[Data do Caixa Previsto]]))</f>
        <v>2017</v>
      </c>
      <c r="O2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5" spans="2:15" hidden="1" x14ac:dyDescent="0.25">
      <c r="B25" s="20" t="s">
        <v>92</v>
      </c>
      <c r="C25" s="20">
        <v>43012</v>
      </c>
      <c r="D25" s="20">
        <v>43030.293823546323</v>
      </c>
      <c r="E25" s="21" t="s">
        <v>16</v>
      </c>
      <c r="F25" s="21" t="s">
        <v>5</v>
      </c>
      <c r="G25" s="21" t="s">
        <v>331</v>
      </c>
      <c r="H25" s="25">
        <v>4516</v>
      </c>
      <c r="I25" s="21">
        <f>IF(TbRegistrosSaida[[#This Row],[Data do Caixa Realizado]]="",0,MONTH(TbRegistrosSaida[[#This Row],[Data do Caixa Realizado]]))</f>
        <v>0</v>
      </c>
      <c r="J25" s="21">
        <f>IF(TbRegistrosSaida[[#This Row],[Data do Caixa Realizado]]="",0,YEAR(TbRegistrosSaida[[#This Row],[Data do Caixa Realizado]]))</f>
        <v>0</v>
      </c>
      <c r="K25" s="21">
        <f>IF(TbRegistrosSaida[[#This Row],[Data da Competência]]="",0,MONTH(TbRegistrosSaida[[#This Row],[Data da Competência]]))</f>
        <v>10</v>
      </c>
      <c r="L25" s="21">
        <f>IF(TbRegistrosSaida[[#This Row],[Data da Competência]]="",0,YEAR(TbRegistrosSaida[[#This Row],[Data da Competência]]))</f>
        <v>2017</v>
      </c>
      <c r="M25" s="57">
        <f>IF(TbRegistrosSaida[[#This Row],[Data do Caixa Previsto]]="",0,MONTH(TbRegistrosSaida[[#This Row],[Data do Caixa Previsto]]))</f>
        <v>10</v>
      </c>
      <c r="N25" s="58">
        <f>IF(TbRegistrosSaida[[#This Row],[Data do Caixa Previsto]]="",0,YEAR(TbRegistrosSaida[[#This Row],[Data do Caixa Previsto]]))</f>
        <v>2017</v>
      </c>
      <c r="O2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2363.7061764536775</v>
      </c>
    </row>
    <row r="26" spans="2:15" hidden="1" x14ac:dyDescent="0.25">
      <c r="B26" s="20">
        <v>43031.057901657718</v>
      </c>
      <c r="C26" s="20">
        <v>43014</v>
      </c>
      <c r="D26" s="20">
        <v>43031.057901657718</v>
      </c>
      <c r="E26" s="21" t="s">
        <v>16</v>
      </c>
      <c r="F26" s="21" t="s">
        <v>5</v>
      </c>
      <c r="G26" s="21" t="s">
        <v>332</v>
      </c>
      <c r="H26" s="25">
        <v>885</v>
      </c>
      <c r="I26" s="21">
        <f>IF(TbRegistrosSaida[[#This Row],[Data do Caixa Realizado]]="",0,MONTH(TbRegistrosSaida[[#This Row],[Data do Caixa Realizado]]))</f>
        <v>10</v>
      </c>
      <c r="J26" s="21">
        <f>IF(TbRegistrosSaida[[#This Row],[Data do Caixa Realizado]]="",0,YEAR(TbRegistrosSaida[[#This Row],[Data do Caixa Realizado]]))</f>
        <v>2017</v>
      </c>
      <c r="K26" s="21">
        <f>IF(TbRegistrosSaida[[#This Row],[Data da Competência]]="",0,MONTH(TbRegistrosSaida[[#This Row],[Data da Competência]]))</f>
        <v>10</v>
      </c>
      <c r="L26" s="21">
        <f>IF(TbRegistrosSaida[[#This Row],[Data da Competência]]="",0,YEAR(TbRegistrosSaida[[#This Row],[Data da Competência]]))</f>
        <v>2017</v>
      </c>
      <c r="M26" s="57">
        <f>IF(TbRegistrosSaida[[#This Row],[Data do Caixa Previsto]]="",0,MONTH(TbRegistrosSaida[[#This Row],[Data do Caixa Previsto]]))</f>
        <v>10</v>
      </c>
      <c r="N26" s="58">
        <f>IF(TbRegistrosSaida[[#This Row],[Data do Caixa Previsto]]="",0,YEAR(TbRegistrosSaida[[#This Row],[Data do Caixa Previsto]]))</f>
        <v>2017</v>
      </c>
      <c r="O2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7" spans="2:15" hidden="1" x14ac:dyDescent="0.25">
      <c r="B27" s="20">
        <v>43051.580861965143</v>
      </c>
      <c r="C27" s="20">
        <v>43017</v>
      </c>
      <c r="D27" s="20">
        <v>43046.987199176881</v>
      </c>
      <c r="E27" s="21" t="s">
        <v>16</v>
      </c>
      <c r="F27" s="21" t="s">
        <v>17</v>
      </c>
      <c r="G27" s="21" t="s">
        <v>333</v>
      </c>
      <c r="H27" s="25">
        <v>1509</v>
      </c>
      <c r="I27" s="21">
        <f>IF(TbRegistrosSaida[[#This Row],[Data do Caixa Realizado]]="",0,MONTH(TbRegistrosSaida[[#This Row],[Data do Caixa Realizado]]))</f>
        <v>11</v>
      </c>
      <c r="J27" s="21">
        <f>IF(TbRegistrosSaida[[#This Row],[Data do Caixa Realizado]]="",0,YEAR(TbRegistrosSaida[[#This Row],[Data do Caixa Realizado]]))</f>
        <v>2017</v>
      </c>
      <c r="K27" s="21">
        <f>IF(TbRegistrosSaida[[#This Row],[Data da Competência]]="",0,MONTH(TbRegistrosSaida[[#This Row],[Data da Competência]]))</f>
        <v>10</v>
      </c>
      <c r="L27" s="21">
        <f>IF(TbRegistrosSaida[[#This Row],[Data da Competência]]="",0,YEAR(TbRegistrosSaida[[#This Row],[Data da Competência]]))</f>
        <v>2017</v>
      </c>
      <c r="M27" s="57">
        <f>IF(TbRegistrosSaida[[#This Row],[Data do Caixa Previsto]]="",0,MONTH(TbRegistrosSaida[[#This Row],[Data do Caixa Previsto]]))</f>
        <v>11</v>
      </c>
      <c r="N27" s="58">
        <f>IF(TbRegistrosSaida[[#This Row],[Data do Caixa Previsto]]="",0,YEAR(TbRegistrosSaida[[#This Row],[Data do Caixa Previsto]]))</f>
        <v>2017</v>
      </c>
      <c r="O2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4.5936627882620087</v>
      </c>
    </row>
    <row r="28" spans="2:15" hidden="1" x14ac:dyDescent="0.25">
      <c r="B28" s="20">
        <v>43134.239961092644</v>
      </c>
      <c r="C28" s="20">
        <v>43022</v>
      </c>
      <c r="D28" s="20">
        <v>43045.041972262814</v>
      </c>
      <c r="E28" s="21" t="s">
        <v>16</v>
      </c>
      <c r="F28" s="21" t="s">
        <v>77</v>
      </c>
      <c r="G28" s="21" t="s">
        <v>334</v>
      </c>
      <c r="H28" s="25">
        <v>145</v>
      </c>
      <c r="I28" s="21">
        <f>IF(TbRegistrosSaida[[#This Row],[Data do Caixa Realizado]]="",0,MONTH(TbRegistrosSaida[[#This Row],[Data do Caixa Realizado]]))</f>
        <v>2</v>
      </c>
      <c r="J28" s="21">
        <f>IF(TbRegistrosSaida[[#This Row],[Data do Caixa Realizado]]="",0,YEAR(TbRegistrosSaida[[#This Row],[Data do Caixa Realizado]]))</f>
        <v>2018</v>
      </c>
      <c r="K28" s="21">
        <f>IF(TbRegistrosSaida[[#This Row],[Data da Competência]]="",0,MONTH(TbRegistrosSaida[[#This Row],[Data da Competência]]))</f>
        <v>10</v>
      </c>
      <c r="L28" s="21">
        <f>IF(TbRegistrosSaida[[#This Row],[Data da Competência]]="",0,YEAR(TbRegistrosSaida[[#This Row],[Data da Competência]]))</f>
        <v>2017</v>
      </c>
      <c r="M28" s="57">
        <f>IF(TbRegistrosSaida[[#This Row],[Data do Caixa Previsto]]="",0,MONTH(TbRegistrosSaida[[#This Row],[Data do Caixa Previsto]]))</f>
        <v>11</v>
      </c>
      <c r="N28" s="58">
        <f>IF(TbRegistrosSaida[[#This Row],[Data do Caixa Previsto]]="",0,YEAR(TbRegistrosSaida[[#This Row],[Data do Caixa Previsto]]))</f>
        <v>2017</v>
      </c>
      <c r="O2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89.197988829830138</v>
      </c>
    </row>
    <row r="29" spans="2:15" hidden="1" x14ac:dyDescent="0.25">
      <c r="B29" s="20">
        <v>43051.301144712357</v>
      </c>
      <c r="C29" s="20">
        <v>43024</v>
      </c>
      <c r="D29" s="20">
        <v>43031.245493844843</v>
      </c>
      <c r="E29" s="21" t="s">
        <v>16</v>
      </c>
      <c r="F29" s="21" t="s">
        <v>77</v>
      </c>
      <c r="G29" s="21" t="s">
        <v>335</v>
      </c>
      <c r="H29" s="25">
        <v>1311</v>
      </c>
      <c r="I29" s="21">
        <f>IF(TbRegistrosSaida[[#This Row],[Data do Caixa Realizado]]="",0,MONTH(TbRegistrosSaida[[#This Row],[Data do Caixa Realizado]]))</f>
        <v>11</v>
      </c>
      <c r="J29" s="21">
        <f>IF(TbRegistrosSaida[[#This Row],[Data do Caixa Realizado]]="",0,YEAR(TbRegistrosSaida[[#This Row],[Data do Caixa Realizado]]))</f>
        <v>2017</v>
      </c>
      <c r="K29" s="21">
        <f>IF(TbRegistrosSaida[[#This Row],[Data da Competência]]="",0,MONTH(TbRegistrosSaida[[#This Row],[Data da Competência]]))</f>
        <v>10</v>
      </c>
      <c r="L29" s="21">
        <f>IF(TbRegistrosSaida[[#This Row],[Data da Competência]]="",0,YEAR(TbRegistrosSaida[[#This Row],[Data da Competência]]))</f>
        <v>2017</v>
      </c>
      <c r="M29" s="57">
        <f>IF(TbRegistrosSaida[[#This Row],[Data do Caixa Previsto]]="",0,MONTH(TbRegistrosSaida[[#This Row],[Data do Caixa Previsto]]))</f>
        <v>10</v>
      </c>
      <c r="N29" s="58">
        <f>IF(TbRegistrosSaida[[#This Row],[Data do Caixa Previsto]]="",0,YEAR(TbRegistrosSaida[[#This Row],[Data do Caixa Previsto]]))</f>
        <v>2017</v>
      </c>
      <c r="O2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20.055650867514487</v>
      </c>
    </row>
    <row r="30" spans="2:15" hidden="1" x14ac:dyDescent="0.25">
      <c r="B30" s="20">
        <v>43059.361635124777</v>
      </c>
      <c r="C30" s="20">
        <v>43026</v>
      </c>
      <c r="D30" s="20">
        <v>43059.361635124777</v>
      </c>
      <c r="E30" s="21" t="s">
        <v>16</v>
      </c>
      <c r="F30" s="21" t="s">
        <v>77</v>
      </c>
      <c r="G30" s="21" t="s">
        <v>336</v>
      </c>
      <c r="H30" s="25">
        <v>4182</v>
      </c>
      <c r="I30" s="21">
        <f>IF(TbRegistrosSaida[[#This Row],[Data do Caixa Realizado]]="",0,MONTH(TbRegistrosSaida[[#This Row],[Data do Caixa Realizado]]))</f>
        <v>11</v>
      </c>
      <c r="J30" s="21">
        <f>IF(TbRegistrosSaida[[#This Row],[Data do Caixa Realizado]]="",0,YEAR(TbRegistrosSaida[[#This Row],[Data do Caixa Realizado]]))</f>
        <v>2017</v>
      </c>
      <c r="K30" s="21">
        <f>IF(TbRegistrosSaida[[#This Row],[Data da Competência]]="",0,MONTH(TbRegistrosSaida[[#This Row],[Data da Competência]]))</f>
        <v>10</v>
      </c>
      <c r="L30" s="21">
        <f>IF(TbRegistrosSaida[[#This Row],[Data da Competência]]="",0,YEAR(TbRegistrosSaida[[#This Row],[Data da Competência]]))</f>
        <v>2017</v>
      </c>
      <c r="M30" s="57">
        <f>IF(TbRegistrosSaida[[#This Row],[Data do Caixa Previsto]]="",0,MONTH(TbRegistrosSaida[[#This Row],[Data do Caixa Previsto]]))</f>
        <v>11</v>
      </c>
      <c r="N30" s="58">
        <f>IF(TbRegistrosSaida[[#This Row],[Data do Caixa Previsto]]="",0,YEAR(TbRegistrosSaida[[#This Row],[Data do Caixa Previsto]]))</f>
        <v>2017</v>
      </c>
      <c r="O3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1" spans="2:15" hidden="1" x14ac:dyDescent="0.25">
      <c r="B31" s="20">
        <v>43037.396901300337</v>
      </c>
      <c r="C31" s="20">
        <v>43032</v>
      </c>
      <c r="D31" s="20">
        <v>43037.396901300337</v>
      </c>
      <c r="E31" s="21" t="s">
        <v>16</v>
      </c>
      <c r="F31" s="21" t="s">
        <v>3</v>
      </c>
      <c r="G31" s="21" t="s">
        <v>337</v>
      </c>
      <c r="H31" s="25">
        <v>339</v>
      </c>
      <c r="I31" s="21">
        <f>IF(TbRegistrosSaida[[#This Row],[Data do Caixa Realizado]]="",0,MONTH(TbRegistrosSaida[[#This Row],[Data do Caixa Realizado]]))</f>
        <v>10</v>
      </c>
      <c r="J31" s="21">
        <f>IF(TbRegistrosSaida[[#This Row],[Data do Caixa Realizado]]="",0,YEAR(TbRegistrosSaida[[#This Row],[Data do Caixa Realizado]]))</f>
        <v>2017</v>
      </c>
      <c r="K31" s="21">
        <f>IF(TbRegistrosSaida[[#This Row],[Data da Competência]]="",0,MONTH(TbRegistrosSaida[[#This Row],[Data da Competência]]))</f>
        <v>10</v>
      </c>
      <c r="L31" s="21">
        <f>IF(TbRegistrosSaida[[#This Row],[Data da Competência]]="",0,YEAR(TbRegistrosSaida[[#This Row],[Data da Competência]]))</f>
        <v>2017</v>
      </c>
      <c r="M31" s="57">
        <f>IF(TbRegistrosSaida[[#This Row],[Data do Caixa Previsto]]="",0,MONTH(TbRegistrosSaida[[#This Row],[Data do Caixa Previsto]]))</f>
        <v>10</v>
      </c>
      <c r="N31" s="58">
        <f>IF(TbRegistrosSaida[[#This Row],[Data do Caixa Previsto]]="",0,YEAR(TbRegistrosSaida[[#This Row],[Data do Caixa Previsto]]))</f>
        <v>2017</v>
      </c>
      <c r="O3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2" spans="2:15" hidden="1" x14ac:dyDescent="0.25">
      <c r="B32" s="20">
        <v>43130.980668733508</v>
      </c>
      <c r="C32" s="20">
        <v>43037</v>
      </c>
      <c r="D32" s="20">
        <v>43068.17516674153</v>
      </c>
      <c r="E32" s="21" t="s">
        <v>16</v>
      </c>
      <c r="F32" s="21" t="s">
        <v>17</v>
      </c>
      <c r="G32" s="21" t="s">
        <v>338</v>
      </c>
      <c r="H32" s="25">
        <v>1788</v>
      </c>
      <c r="I32" s="21">
        <f>IF(TbRegistrosSaida[[#This Row],[Data do Caixa Realizado]]="",0,MONTH(TbRegistrosSaida[[#This Row],[Data do Caixa Realizado]]))</f>
        <v>1</v>
      </c>
      <c r="J32" s="21">
        <f>IF(TbRegistrosSaida[[#This Row],[Data do Caixa Realizado]]="",0,YEAR(TbRegistrosSaida[[#This Row],[Data do Caixa Realizado]]))</f>
        <v>2018</v>
      </c>
      <c r="K32" s="21">
        <f>IF(TbRegistrosSaida[[#This Row],[Data da Competência]]="",0,MONTH(TbRegistrosSaida[[#This Row],[Data da Competência]]))</f>
        <v>10</v>
      </c>
      <c r="L32" s="21">
        <f>IF(TbRegistrosSaida[[#This Row],[Data da Competência]]="",0,YEAR(TbRegistrosSaida[[#This Row],[Data da Competência]]))</f>
        <v>2017</v>
      </c>
      <c r="M32" s="57">
        <f>IF(TbRegistrosSaida[[#This Row],[Data do Caixa Previsto]]="",0,MONTH(TbRegistrosSaida[[#This Row],[Data do Caixa Previsto]]))</f>
        <v>11</v>
      </c>
      <c r="N32" s="58">
        <f>IF(TbRegistrosSaida[[#This Row],[Data do Caixa Previsto]]="",0,YEAR(TbRegistrosSaida[[#This Row],[Data do Caixa Previsto]]))</f>
        <v>2017</v>
      </c>
      <c r="O3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62.805501991977508</v>
      </c>
    </row>
    <row r="33" spans="2:15" hidden="1" x14ac:dyDescent="0.25">
      <c r="B33" s="20">
        <v>43089.045976990965</v>
      </c>
      <c r="C33" s="20">
        <v>43042</v>
      </c>
      <c r="D33" s="20">
        <v>43089.045976990965</v>
      </c>
      <c r="E33" s="21" t="s">
        <v>16</v>
      </c>
      <c r="F33" s="21" t="s">
        <v>5</v>
      </c>
      <c r="G33" s="21" t="s">
        <v>339</v>
      </c>
      <c r="H33" s="25">
        <v>1171</v>
      </c>
      <c r="I33" s="21">
        <f>IF(TbRegistrosSaida[[#This Row],[Data do Caixa Realizado]]="",0,MONTH(TbRegistrosSaida[[#This Row],[Data do Caixa Realizado]]))</f>
        <v>12</v>
      </c>
      <c r="J33" s="21">
        <f>IF(TbRegistrosSaida[[#This Row],[Data do Caixa Realizado]]="",0,YEAR(TbRegistrosSaida[[#This Row],[Data do Caixa Realizado]]))</f>
        <v>2017</v>
      </c>
      <c r="K33" s="21">
        <f>IF(TbRegistrosSaida[[#This Row],[Data da Competência]]="",0,MONTH(TbRegistrosSaida[[#This Row],[Data da Competência]]))</f>
        <v>11</v>
      </c>
      <c r="L33" s="21">
        <f>IF(TbRegistrosSaida[[#This Row],[Data da Competência]]="",0,YEAR(TbRegistrosSaida[[#This Row],[Data da Competência]]))</f>
        <v>2017</v>
      </c>
      <c r="M33" s="57">
        <f>IF(TbRegistrosSaida[[#This Row],[Data do Caixa Previsto]]="",0,MONTH(TbRegistrosSaida[[#This Row],[Data do Caixa Previsto]]))</f>
        <v>12</v>
      </c>
      <c r="N33" s="58">
        <f>IF(TbRegistrosSaida[[#This Row],[Data do Caixa Previsto]]="",0,YEAR(TbRegistrosSaida[[#This Row],[Data do Caixa Previsto]]))</f>
        <v>2017</v>
      </c>
      <c r="O3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4" spans="2:15" hidden="1" x14ac:dyDescent="0.25">
      <c r="B34" s="20">
        <v>43053.799831016353</v>
      </c>
      <c r="C34" s="20">
        <v>43044</v>
      </c>
      <c r="D34" s="20">
        <v>43053.799831016353</v>
      </c>
      <c r="E34" s="21" t="s">
        <v>16</v>
      </c>
      <c r="F34" s="21" t="s">
        <v>77</v>
      </c>
      <c r="G34" s="21" t="s">
        <v>340</v>
      </c>
      <c r="H34" s="25">
        <v>4059</v>
      </c>
      <c r="I34" s="21">
        <f>IF(TbRegistrosSaida[[#This Row],[Data do Caixa Realizado]]="",0,MONTH(TbRegistrosSaida[[#This Row],[Data do Caixa Realizado]]))</f>
        <v>11</v>
      </c>
      <c r="J34" s="21">
        <f>IF(TbRegistrosSaida[[#This Row],[Data do Caixa Realizado]]="",0,YEAR(TbRegistrosSaida[[#This Row],[Data do Caixa Realizado]]))</f>
        <v>2017</v>
      </c>
      <c r="K34" s="21">
        <f>IF(TbRegistrosSaida[[#This Row],[Data da Competência]]="",0,MONTH(TbRegistrosSaida[[#This Row],[Data da Competência]]))</f>
        <v>11</v>
      </c>
      <c r="L34" s="21">
        <f>IF(TbRegistrosSaida[[#This Row],[Data da Competência]]="",0,YEAR(TbRegistrosSaida[[#This Row],[Data da Competência]]))</f>
        <v>2017</v>
      </c>
      <c r="M34" s="57">
        <f>IF(TbRegistrosSaida[[#This Row],[Data do Caixa Previsto]]="",0,MONTH(TbRegistrosSaida[[#This Row],[Data do Caixa Previsto]]))</f>
        <v>11</v>
      </c>
      <c r="N34" s="58">
        <f>IF(TbRegistrosSaida[[#This Row],[Data do Caixa Previsto]]="",0,YEAR(TbRegistrosSaida[[#This Row],[Data do Caixa Previsto]]))</f>
        <v>2017</v>
      </c>
      <c r="O3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5" spans="2:15" hidden="1" x14ac:dyDescent="0.25">
      <c r="B35" s="20">
        <v>43080.068251063065</v>
      </c>
      <c r="C35" s="20">
        <v>43047</v>
      </c>
      <c r="D35" s="20">
        <v>43080.068251063065</v>
      </c>
      <c r="E35" s="21" t="s">
        <v>16</v>
      </c>
      <c r="F35" s="21" t="s">
        <v>49</v>
      </c>
      <c r="G35" s="21" t="s">
        <v>341</v>
      </c>
      <c r="H35" s="25">
        <v>4919</v>
      </c>
      <c r="I35" s="21">
        <f>IF(TbRegistrosSaida[[#This Row],[Data do Caixa Realizado]]="",0,MONTH(TbRegistrosSaida[[#This Row],[Data do Caixa Realizado]]))</f>
        <v>12</v>
      </c>
      <c r="J35" s="21">
        <f>IF(TbRegistrosSaida[[#This Row],[Data do Caixa Realizado]]="",0,YEAR(TbRegistrosSaida[[#This Row],[Data do Caixa Realizado]]))</f>
        <v>2017</v>
      </c>
      <c r="K35" s="21">
        <f>IF(TbRegistrosSaida[[#This Row],[Data da Competência]]="",0,MONTH(TbRegistrosSaida[[#This Row],[Data da Competência]]))</f>
        <v>11</v>
      </c>
      <c r="L35" s="21">
        <f>IF(TbRegistrosSaida[[#This Row],[Data da Competência]]="",0,YEAR(TbRegistrosSaida[[#This Row],[Data da Competência]]))</f>
        <v>2017</v>
      </c>
      <c r="M35" s="57">
        <f>IF(TbRegistrosSaida[[#This Row],[Data do Caixa Previsto]]="",0,MONTH(TbRegistrosSaida[[#This Row],[Data do Caixa Previsto]]))</f>
        <v>12</v>
      </c>
      <c r="N35" s="58">
        <f>IF(TbRegistrosSaida[[#This Row],[Data do Caixa Previsto]]="",0,YEAR(TbRegistrosSaida[[#This Row],[Data do Caixa Previsto]]))</f>
        <v>2017</v>
      </c>
      <c r="O3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6" spans="2:15" hidden="1" x14ac:dyDescent="0.25">
      <c r="B36" s="20">
        <v>43097.450419750799</v>
      </c>
      <c r="C36" s="20">
        <v>43051</v>
      </c>
      <c r="D36" s="20">
        <v>43087.512329668702</v>
      </c>
      <c r="E36" s="21" t="s">
        <v>16</v>
      </c>
      <c r="F36" s="21" t="s">
        <v>77</v>
      </c>
      <c r="G36" s="21" t="s">
        <v>342</v>
      </c>
      <c r="H36" s="25">
        <v>3224</v>
      </c>
      <c r="I36" s="21">
        <f>IF(TbRegistrosSaida[[#This Row],[Data do Caixa Realizado]]="",0,MONTH(TbRegistrosSaida[[#This Row],[Data do Caixa Realizado]]))</f>
        <v>12</v>
      </c>
      <c r="J36" s="21">
        <f>IF(TbRegistrosSaida[[#This Row],[Data do Caixa Realizado]]="",0,YEAR(TbRegistrosSaida[[#This Row],[Data do Caixa Realizado]]))</f>
        <v>2017</v>
      </c>
      <c r="K36" s="21">
        <f>IF(TbRegistrosSaida[[#This Row],[Data da Competência]]="",0,MONTH(TbRegistrosSaida[[#This Row],[Data da Competência]]))</f>
        <v>11</v>
      </c>
      <c r="L36" s="21">
        <f>IF(TbRegistrosSaida[[#This Row],[Data da Competência]]="",0,YEAR(TbRegistrosSaida[[#This Row],[Data da Competência]]))</f>
        <v>2017</v>
      </c>
      <c r="M36" s="57">
        <f>IF(TbRegistrosSaida[[#This Row],[Data do Caixa Previsto]]="",0,MONTH(TbRegistrosSaida[[#This Row],[Data do Caixa Previsto]]))</f>
        <v>12</v>
      </c>
      <c r="N36" s="58">
        <f>IF(TbRegistrosSaida[[#This Row],[Data do Caixa Previsto]]="",0,YEAR(TbRegistrosSaida[[#This Row],[Data do Caixa Previsto]]))</f>
        <v>2017</v>
      </c>
      <c r="O3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9.938090082097915</v>
      </c>
    </row>
    <row r="37" spans="2:15" hidden="1" x14ac:dyDescent="0.25">
      <c r="B37" s="20">
        <v>43095.145797073659</v>
      </c>
      <c r="C37" s="20">
        <v>43054</v>
      </c>
      <c r="D37" s="20">
        <v>43095.145797073659</v>
      </c>
      <c r="E37" s="21" t="s">
        <v>16</v>
      </c>
      <c r="F37" s="21" t="s">
        <v>5</v>
      </c>
      <c r="G37" s="21" t="s">
        <v>343</v>
      </c>
      <c r="H37" s="25">
        <v>3725</v>
      </c>
      <c r="I37" s="21">
        <f>IF(TbRegistrosSaida[[#This Row],[Data do Caixa Realizado]]="",0,MONTH(TbRegistrosSaida[[#This Row],[Data do Caixa Realizado]]))</f>
        <v>12</v>
      </c>
      <c r="J37" s="21">
        <f>IF(TbRegistrosSaida[[#This Row],[Data do Caixa Realizado]]="",0,YEAR(TbRegistrosSaida[[#This Row],[Data do Caixa Realizado]]))</f>
        <v>2017</v>
      </c>
      <c r="K37" s="21">
        <f>IF(TbRegistrosSaida[[#This Row],[Data da Competência]]="",0,MONTH(TbRegistrosSaida[[#This Row],[Data da Competência]]))</f>
        <v>11</v>
      </c>
      <c r="L37" s="21">
        <f>IF(TbRegistrosSaida[[#This Row],[Data da Competência]]="",0,YEAR(TbRegistrosSaida[[#This Row],[Data da Competência]]))</f>
        <v>2017</v>
      </c>
      <c r="M37" s="57">
        <f>IF(TbRegistrosSaida[[#This Row],[Data do Caixa Previsto]]="",0,MONTH(TbRegistrosSaida[[#This Row],[Data do Caixa Previsto]]))</f>
        <v>12</v>
      </c>
      <c r="N37" s="58">
        <f>IF(TbRegistrosSaida[[#This Row],[Data do Caixa Previsto]]="",0,YEAR(TbRegistrosSaida[[#This Row],[Data do Caixa Previsto]]))</f>
        <v>2017</v>
      </c>
      <c r="O3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8" spans="2:15" hidden="1" x14ac:dyDescent="0.25">
      <c r="B38" s="20">
        <v>43085.287677276574</v>
      </c>
      <c r="C38" s="20">
        <v>43056</v>
      </c>
      <c r="D38" s="20">
        <v>43085.287677276574</v>
      </c>
      <c r="E38" s="21" t="s">
        <v>16</v>
      </c>
      <c r="F38" s="21" t="s">
        <v>5</v>
      </c>
      <c r="G38" s="21" t="s">
        <v>344</v>
      </c>
      <c r="H38" s="25">
        <v>312</v>
      </c>
      <c r="I38" s="21">
        <f>IF(TbRegistrosSaida[[#This Row],[Data do Caixa Realizado]]="",0,MONTH(TbRegistrosSaida[[#This Row],[Data do Caixa Realizado]]))</f>
        <v>12</v>
      </c>
      <c r="J38" s="21">
        <f>IF(TbRegistrosSaida[[#This Row],[Data do Caixa Realizado]]="",0,YEAR(TbRegistrosSaida[[#This Row],[Data do Caixa Realizado]]))</f>
        <v>2017</v>
      </c>
      <c r="K38" s="21">
        <f>IF(TbRegistrosSaida[[#This Row],[Data da Competência]]="",0,MONTH(TbRegistrosSaida[[#This Row],[Data da Competência]]))</f>
        <v>11</v>
      </c>
      <c r="L38" s="21">
        <f>IF(TbRegistrosSaida[[#This Row],[Data da Competência]]="",0,YEAR(TbRegistrosSaida[[#This Row],[Data da Competência]]))</f>
        <v>2017</v>
      </c>
      <c r="M38" s="57">
        <f>IF(TbRegistrosSaida[[#This Row],[Data do Caixa Previsto]]="",0,MONTH(TbRegistrosSaida[[#This Row],[Data do Caixa Previsto]]))</f>
        <v>12</v>
      </c>
      <c r="N38" s="58">
        <f>IF(TbRegistrosSaida[[#This Row],[Data do Caixa Previsto]]="",0,YEAR(TbRegistrosSaida[[#This Row],[Data do Caixa Previsto]]))</f>
        <v>2017</v>
      </c>
      <c r="O3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9" spans="2:15" hidden="1" x14ac:dyDescent="0.25">
      <c r="B39" s="20">
        <v>43112.669025156058</v>
      </c>
      <c r="C39" s="20">
        <v>43057</v>
      </c>
      <c r="D39" s="20">
        <v>43112.669025156058</v>
      </c>
      <c r="E39" s="21" t="s">
        <v>16</v>
      </c>
      <c r="F39" s="21" t="s">
        <v>77</v>
      </c>
      <c r="G39" s="21" t="s">
        <v>345</v>
      </c>
      <c r="H39" s="25">
        <v>4773</v>
      </c>
      <c r="I39" s="21">
        <f>IF(TbRegistrosSaida[[#This Row],[Data do Caixa Realizado]]="",0,MONTH(TbRegistrosSaida[[#This Row],[Data do Caixa Realizado]]))</f>
        <v>1</v>
      </c>
      <c r="J39" s="21">
        <f>IF(TbRegistrosSaida[[#This Row],[Data do Caixa Realizado]]="",0,YEAR(TbRegistrosSaida[[#This Row],[Data do Caixa Realizado]]))</f>
        <v>2018</v>
      </c>
      <c r="K39" s="21">
        <f>IF(TbRegistrosSaida[[#This Row],[Data da Competência]]="",0,MONTH(TbRegistrosSaida[[#This Row],[Data da Competência]]))</f>
        <v>11</v>
      </c>
      <c r="L39" s="21">
        <f>IF(TbRegistrosSaida[[#This Row],[Data da Competência]]="",0,YEAR(TbRegistrosSaida[[#This Row],[Data da Competência]]))</f>
        <v>2017</v>
      </c>
      <c r="M39" s="57">
        <f>IF(TbRegistrosSaida[[#This Row],[Data do Caixa Previsto]]="",0,MONTH(TbRegistrosSaida[[#This Row],[Data do Caixa Previsto]]))</f>
        <v>1</v>
      </c>
      <c r="N39" s="58">
        <f>IF(TbRegistrosSaida[[#This Row],[Data do Caixa Previsto]]="",0,YEAR(TbRegistrosSaida[[#This Row],[Data do Caixa Previsto]]))</f>
        <v>2018</v>
      </c>
      <c r="O3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0" spans="2:15" hidden="1" x14ac:dyDescent="0.25">
      <c r="B40" s="20">
        <v>43076.636591836308</v>
      </c>
      <c r="C40" s="20">
        <v>43058</v>
      </c>
      <c r="D40" s="20">
        <v>43076.636591836308</v>
      </c>
      <c r="E40" s="21" t="s">
        <v>16</v>
      </c>
      <c r="F40" s="21" t="s">
        <v>49</v>
      </c>
      <c r="G40" s="21" t="s">
        <v>346</v>
      </c>
      <c r="H40" s="25">
        <v>228</v>
      </c>
      <c r="I40" s="21">
        <f>IF(TbRegistrosSaida[[#This Row],[Data do Caixa Realizado]]="",0,MONTH(TbRegistrosSaida[[#This Row],[Data do Caixa Realizado]]))</f>
        <v>12</v>
      </c>
      <c r="J40" s="21">
        <f>IF(TbRegistrosSaida[[#This Row],[Data do Caixa Realizado]]="",0,YEAR(TbRegistrosSaida[[#This Row],[Data do Caixa Realizado]]))</f>
        <v>2017</v>
      </c>
      <c r="K40" s="21">
        <f>IF(TbRegistrosSaida[[#This Row],[Data da Competência]]="",0,MONTH(TbRegistrosSaida[[#This Row],[Data da Competência]]))</f>
        <v>11</v>
      </c>
      <c r="L40" s="21">
        <f>IF(TbRegistrosSaida[[#This Row],[Data da Competência]]="",0,YEAR(TbRegistrosSaida[[#This Row],[Data da Competência]]))</f>
        <v>2017</v>
      </c>
      <c r="M40" s="57">
        <f>IF(TbRegistrosSaida[[#This Row],[Data do Caixa Previsto]]="",0,MONTH(TbRegistrosSaida[[#This Row],[Data do Caixa Previsto]]))</f>
        <v>12</v>
      </c>
      <c r="N40" s="58">
        <f>IF(TbRegistrosSaida[[#This Row],[Data do Caixa Previsto]]="",0,YEAR(TbRegistrosSaida[[#This Row],[Data do Caixa Previsto]]))</f>
        <v>2017</v>
      </c>
      <c r="O4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1" spans="2:15" hidden="1" x14ac:dyDescent="0.25">
      <c r="B41" s="20">
        <v>43097.776800296095</v>
      </c>
      <c r="C41" s="20">
        <v>43061</v>
      </c>
      <c r="D41" s="20">
        <v>43097.776800296095</v>
      </c>
      <c r="E41" s="21" t="s">
        <v>16</v>
      </c>
      <c r="F41" s="21" t="s">
        <v>77</v>
      </c>
      <c r="G41" s="21" t="s">
        <v>347</v>
      </c>
      <c r="H41" s="25">
        <v>450</v>
      </c>
      <c r="I41" s="21">
        <f>IF(TbRegistrosSaida[[#This Row],[Data do Caixa Realizado]]="",0,MONTH(TbRegistrosSaida[[#This Row],[Data do Caixa Realizado]]))</f>
        <v>12</v>
      </c>
      <c r="J41" s="21">
        <f>IF(TbRegistrosSaida[[#This Row],[Data do Caixa Realizado]]="",0,YEAR(TbRegistrosSaida[[#This Row],[Data do Caixa Realizado]]))</f>
        <v>2017</v>
      </c>
      <c r="K41" s="21">
        <f>IF(TbRegistrosSaida[[#This Row],[Data da Competência]]="",0,MONTH(TbRegistrosSaida[[#This Row],[Data da Competência]]))</f>
        <v>11</v>
      </c>
      <c r="L41" s="21">
        <f>IF(TbRegistrosSaida[[#This Row],[Data da Competência]]="",0,YEAR(TbRegistrosSaida[[#This Row],[Data da Competência]]))</f>
        <v>2017</v>
      </c>
      <c r="M41" s="57">
        <f>IF(TbRegistrosSaida[[#This Row],[Data do Caixa Previsto]]="",0,MONTH(TbRegistrosSaida[[#This Row],[Data do Caixa Previsto]]))</f>
        <v>12</v>
      </c>
      <c r="N41" s="58">
        <f>IF(TbRegistrosSaida[[#This Row],[Data do Caixa Previsto]]="",0,YEAR(TbRegistrosSaida[[#This Row],[Data do Caixa Previsto]]))</f>
        <v>2017</v>
      </c>
      <c r="O4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2" spans="2:15" hidden="1" x14ac:dyDescent="0.25">
      <c r="B42" s="20" t="s">
        <v>92</v>
      </c>
      <c r="C42" s="20">
        <v>43062</v>
      </c>
      <c r="D42" s="20">
        <v>43103.4086174822</v>
      </c>
      <c r="E42" s="21" t="s">
        <v>16</v>
      </c>
      <c r="F42" s="21" t="s">
        <v>77</v>
      </c>
      <c r="G42" s="21" t="s">
        <v>348</v>
      </c>
      <c r="H42" s="25">
        <v>1155</v>
      </c>
      <c r="I42" s="21">
        <f>IF(TbRegistrosSaida[[#This Row],[Data do Caixa Realizado]]="",0,MONTH(TbRegistrosSaida[[#This Row],[Data do Caixa Realizado]]))</f>
        <v>0</v>
      </c>
      <c r="J42" s="21">
        <f>IF(TbRegistrosSaida[[#This Row],[Data do Caixa Realizado]]="",0,YEAR(TbRegistrosSaida[[#This Row],[Data do Caixa Realizado]]))</f>
        <v>0</v>
      </c>
      <c r="K42" s="21">
        <f>IF(TbRegistrosSaida[[#This Row],[Data da Competência]]="",0,MONTH(TbRegistrosSaida[[#This Row],[Data da Competência]]))</f>
        <v>11</v>
      </c>
      <c r="L42" s="21">
        <f>IF(TbRegistrosSaida[[#This Row],[Data da Competência]]="",0,YEAR(TbRegistrosSaida[[#This Row],[Data da Competência]]))</f>
        <v>2017</v>
      </c>
      <c r="M42" s="57">
        <f>IF(TbRegistrosSaida[[#This Row],[Data do Caixa Previsto]]="",0,MONTH(TbRegistrosSaida[[#This Row],[Data do Caixa Previsto]]))</f>
        <v>1</v>
      </c>
      <c r="N42" s="58">
        <f>IF(TbRegistrosSaida[[#This Row],[Data do Caixa Previsto]]="",0,YEAR(TbRegistrosSaida[[#This Row],[Data do Caixa Previsto]]))</f>
        <v>2018</v>
      </c>
      <c r="O4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2290.5913825177995</v>
      </c>
    </row>
    <row r="43" spans="2:15" hidden="1" x14ac:dyDescent="0.25">
      <c r="B43" s="20" t="s">
        <v>92</v>
      </c>
      <c r="C43" s="20">
        <v>43069</v>
      </c>
      <c r="D43" s="20">
        <v>43070.024697534791</v>
      </c>
      <c r="E43" s="21" t="s">
        <v>16</v>
      </c>
      <c r="F43" s="21" t="s">
        <v>77</v>
      </c>
      <c r="G43" s="21" t="s">
        <v>317</v>
      </c>
      <c r="H43" s="25">
        <v>1967</v>
      </c>
      <c r="I43" s="21">
        <f>IF(TbRegistrosSaida[[#This Row],[Data do Caixa Realizado]]="",0,MONTH(TbRegistrosSaida[[#This Row],[Data do Caixa Realizado]]))</f>
        <v>0</v>
      </c>
      <c r="J43" s="21">
        <f>IF(TbRegistrosSaida[[#This Row],[Data do Caixa Realizado]]="",0,YEAR(TbRegistrosSaida[[#This Row],[Data do Caixa Realizado]]))</f>
        <v>0</v>
      </c>
      <c r="K43" s="21">
        <f>IF(TbRegistrosSaida[[#This Row],[Data da Competência]]="",0,MONTH(TbRegistrosSaida[[#This Row],[Data da Competência]]))</f>
        <v>11</v>
      </c>
      <c r="L43" s="21">
        <f>IF(TbRegistrosSaida[[#This Row],[Data da Competência]]="",0,YEAR(TbRegistrosSaida[[#This Row],[Data da Competência]]))</f>
        <v>2017</v>
      </c>
      <c r="M43" s="57">
        <f>IF(TbRegistrosSaida[[#This Row],[Data do Caixa Previsto]]="",0,MONTH(TbRegistrosSaida[[#This Row],[Data do Caixa Previsto]]))</f>
        <v>12</v>
      </c>
      <c r="N43" s="58">
        <f>IF(TbRegistrosSaida[[#This Row],[Data do Caixa Previsto]]="",0,YEAR(TbRegistrosSaida[[#This Row],[Data do Caixa Previsto]]))</f>
        <v>2017</v>
      </c>
      <c r="O4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2323.9753024652091</v>
      </c>
    </row>
    <row r="44" spans="2:15" hidden="1" x14ac:dyDescent="0.25">
      <c r="B44" s="20">
        <v>43159.922520357031</v>
      </c>
      <c r="C44" s="20">
        <v>43070</v>
      </c>
      <c r="D44" s="20">
        <v>43096.096100611438</v>
      </c>
      <c r="E44" s="21" t="s">
        <v>16</v>
      </c>
      <c r="F44" s="21" t="s">
        <v>17</v>
      </c>
      <c r="G44" s="21" t="s">
        <v>349</v>
      </c>
      <c r="H44" s="25">
        <v>2741</v>
      </c>
      <c r="I44" s="21">
        <f>IF(TbRegistrosSaida[[#This Row],[Data do Caixa Realizado]]="",0,MONTH(TbRegistrosSaida[[#This Row],[Data do Caixa Realizado]]))</f>
        <v>2</v>
      </c>
      <c r="J44" s="21">
        <f>IF(TbRegistrosSaida[[#This Row],[Data do Caixa Realizado]]="",0,YEAR(TbRegistrosSaida[[#This Row],[Data do Caixa Realizado]]))</f>
        <v>2018</v>
      </c>
      <c r="K44" s="21">
        <f>IF(TbRegistrosSaida[[#This Row],[Data da Competência]]="",0,MONTH(TbRegistrosSaida[[#This Row],[Data da Competência]]))</f>
        <v>12</v>
      </c>
      <c r="L44" s="21">
        <f>IF(TbRegistrosSaida[[#This Row],[Data da Competência]]="",0,YEAR(TbRegistrosSaida[[#This Row],[Data da Competência]]))</f>
        <v>2017</v>
      </c>
      <c r="M44" s="57">
        <f>IF(TbRegistrosSaida[[#This Row],[Data do Caixa Previsto]]="",0,MONTH(TbRegistrosSaida[[#This Row],[Data do Caixa Previsto]]))</f>
        <v>12</v>
      </c>
      <c r="N44" s="58">
        <f>IF(TbRegistrosSaida[[#This Row],[Data do Caixa Previsto]]="",0,YEAR(TbRegistrosSaida[[#This Row],[Data do Caixa Previsto]]))</f>
        <v>2017</v>
      </c>
      <c r="O4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63.826419745593739</v>
      </c>
    </row>
    <row r="45" spans="2:15" hidden="1" x14ac:dyDescent="0.25">
      <c r="B45" s="20">
        <v>43125.34551811625</v>
      </c>
      <c r="C45" s="20">
        <v>43071</v>
      </c>
      <c r="D45" s="20">
        <v>43125.34551811625</v>
      </c>
      <c r="E45" s="21" t="s">
        <v>16</v>
      </c>
      <c r="F45" s="21" t="s">
        <v>3</v>
      </c>
      <c r="G45" s="21" t="s">
        <v>350</v>
      </c>
      <c r="H45" s="25">
        <v>1130</v>
      </c>
      <c r="I45" s="21">
        <f>IF(TbRegistrosSaida[[#This Row],[Data do Caixa Realizado]]="",0,MONTH(TbRegistrosSaida[[#This Row],[Data do Caixa Realizado]]))</f>
        <v>1</v>
      </c>
      <c r="J45" s="21">
        <f>IF(TbRegistrosSaida[[#This Row],[Data do Caixa Realizado]]="",0,YEAR(TbRegistrosSaida[[#This Row],[Data do Caixa Realizado]]))</f>
        <v>2018</v>
      </c>
      <c r="K45" s="21">
        <f>IF(TbRegistrosSaida[[#This Row],[Data da Competência]]="",0,MONTH(TbRegistrosSaida[[#This Row],[Data da Competência]]))</f>
        <v>12</v>
      </c>
      <c r="L45" s="21">
        <f>IF(TbRegistrosSaida[[#This Row],[Data da Competência]]="",0,YEAR(TbRegistrosSaida[[#This Row],[Data da Competência]]))</f>
        <v>2017</v>
      </c>
      <c r="M45" s="57">
        <f>IF(TbRegistrosSaida[[#This Row],[Data do Caixa Previsto]]="",0,MONTH(TbRegistrosSaida[[#This Row],[Data do Caixa Previsto]]))</f>
        <v>1</v>
      </c>
      <c r="N45" s="58">
        <f>IF(TbRegistrosSaida[[#This Row],[Data do Caixa Previsto]]="",0,YEAR(TbRegistrosSaida[[#This Row],[Data do Caixa Previsto]]))</f>
        <v>2018</v>
      </c>
      <c r="O4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6" spans="2:15" hidden="1" x14ac:dyDescent="0.25">
      <c r="B46" s="20">
        <v>43118.533892290689</v>
      </c>
      <c r="C46" s="20">
        <v>43075</v>
      </c>
      <c r="D46" s="20">
        <v>43118.533892290689</v>
      </c>
      <c r="E46" s="21" t="s">
        <v>16</v>
      </c>
      <c r="F46" s="21" t="s">
        <v>5</v>
      </c>
      <c r="G46" s="21" t="s">
        <v>351</v>
      </c>
      <c r="H46" s="25">
        <v>4835</v>
      </c>
      <c r="I46" s="21">
        <f>IF(TbRegistrosSaida[[#This Row],[Data do Caixa Realizado]]="",0,MONTH(TbRegistrosSaida[[#This Row],[Data do Caixa Realizado]]))</f>
        <v>1</v>
      </c>
      <c r="J46" s="21">
        <f>IF(TbRegistrosSaida[[#This Row],[Data do Caixa Realizado]]="",0,YEAR(TbRegistrosSaida[[#This Row],[Data do Caixa Realizado]]))</f>
        <v>2018</v>
      </c>
      <c r="K46" s="21">
        <f>IF(TbRegistrosSaida[[#This Row],[Data da Competência]]="",0,MONTH(TbRegistrosSaida[[#This Row],[Data da Competência]]))</f>
        <v>12</v>
      </c>
      <c r="L46" s="21">
        <f>IF(TbRegistrosSaida[[#This Row],[Data da Competência]]="",0,YEAR(TbRegistrosSaida[[#This Row],[Data da Competência]]))</f>
        <v>2017</v>
      </c>
      <c r="M46" s="57">
        <f>IF(TbRegistrosSaida[[#This Row],[Data do Caixa Previsto]]="",0,MONTH(TbRegistrosSaida[[#This Row],[Data do Caixa Previsto]]))</f>
        <v>1</v>
      </c>
      <c r="N46" s="58">
        <f>IF(TbRegistrosSaida[[#This Row],[Data do Caixa Previsto]]="",0,YEAR(TbRegistrosSaida[[#This Row],[Data do Caixa Previsto]]))</f>
        <v>2018</v>
      </c>
      <c r="O4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7" spans="2:15" hidden="1" x14ac:dyDescent="0.25">
      <c r="B47" s="20">
        <v>43129.076273391656</v>
      </c>
      <c r="C47" s="20">
        <v>43077</v>
      </c>
      <c r="D47" s="20">
        <v>43129.076273391656</v>
      </c>
      <c r="E47" s="21" t="s">
        <v>16</v>
      </c>
      <c r="F47" s="21" t="s">
        <v>17</v>
      </c>
      <c r="G47" s="21" t="s">
        <v>313</v>
      </c>
      <c r="H47" s="25">
        <v>1411</v>
      </c>
      <c r="I47" s="21">
        <f>IF(TbRegistrosSaida[[#This Row],[Data do Caixa Realizado]]="",0,MONTH(TbRegistrosSaida[[#This Row],[Data do Caixa Realizado]]))</f>
        <v>1</v>
      </c>
      <c r="J47" s="21">
        <f>IF(TbRegistrosSaida[[#This Row],[Data do Caixa Realizado]]="",0,YEAR(TbRegistrosSaida[[#This Row],[Data do Caixa Realizado]]))</f>
        <v>2018</v>
      </c>
      <c r="K47" s="21">
        <f>IF(TbRegistrosSaida[[#This Row],[Data da Competência]]="",0,MONTH(TbRegistrosSaida[[#This Row],[Data da Competência]]))</f>
        <v>12</v>
      </c>
      <c r="L47" s="21">
        <f>IF(TbRegistrosSaida[[#This Row],[Data da Competência]]="",0,YEAR(TbRegistrosSaida[[#This Row],[Data da Competência]]))</f>
        <v>2017</v>
      </c>
      <c r="M47" s="57">
        <f>IF(TbRegistrosSaida[[#This Row],[Data do Caixa Previsto]]="",0,MONTH(TbRegistrosSaida[[#This Row],[Data do Caixa Previsto]]))</f>
        <v>1</v>
      </c>
      <c r="N47" s="58">
        <f>IF(TbRegistrosSaida[[#This Row],[Data do Caixa Previsto]]="",0,YEAR(TbRegistrosSaida[[#This Row],[Data do Caixa Previsto]]))</f>
        <v>2018</v>
      </c>
      <c r="O4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8" spans="2:15" hidden="1" x14ac:dyDescent="0.25">
      <c r="B48" s="20">
        <v>43099.632017726879</v>
      </c>
      <c r="C48" s="20">
        <v>43079</v>
      </c>
      <c r="D48" s="20">
        <v>43099.632017726879</v>
      </c>
      <c r="E48" s="21" t="s">
        <v>16</v>
      </c>
      <c r="F48" s="21" t="s">
        <v>77</v>
      </c>
      <c r="G48" s="21" t="s">
        <v>352</v>
      </c>
      <c r="H48" s="25">
        <v>457</v>
      </c>
      <c r="I48" s="21">
        <f>IF(TbRegistrosSaida[[#This Row],[Data do Caixa Realizado]]="",0,MONTH(TbRegistrosSaida[[#This Row],[Data do Caixa Realizado]]))</f>
        <v>12</v>
      </c>
      <c r="J48" s="21">
        <f>IF(TbRegistrosSaida[[#This Row],[Data do Caixa Realizado]]="",0,YEAR(TbRegistrosSaida[[#This Row],[Data do Caixa Realizado]]))</f>
        <v>2017</v>
      </c>
      <c r="K48" s="21">
        <f>IF(TbRegistrosSaida[[#This Row],[Data da Competência]]="",0,MONTH(TbRegistrosSaida[[#This Row],[Data da Competência]]))</f>
        <v>12</v>
      </c>
      <c r="L48" s="21">
        <f>IF(TbRegistrosSaida[[#This Row],[Data da Competência]]="",0,YEAR(TbRegistrosSaida[[#This Row],[Data da Competência]]))</f>
        <v>2017</v>
      </c>
      <c r="M48" s="57">
        <f>IF(TbRegistrosSaida[[#This Row],[Data do Caixa Previsto]]="",0,MONTH(TbRegistrosSaida[[#This Row],[Data do Caixa Previsto]]))</f>
        <v>12</v>
      </c>
      <c r="N48" s="58">
        <f>IF(TbRegistrosSaida[[#This Row],[Data do Caixa Previsto]]="",0,YEAR(TbRegistrosSaida[[#This Row],[Data do Caixa Previsto]]))</f>
        <v>2017</v>
      </c>
      <c r="O4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9" spans="2:15" hidden="1" x14ac:dyDescent="0.25">
      <c r="B49" s="20">
        <v>43142.610706080763</v>
      </c>
      <c r="C49" s="20">
        <v>43084</v>
      </c>
      <c r="D49" s="20">
        <v>43142.610706080763</v>
      </c>
      <c r="E49" s="21" t="s">
        <v>16</v>
      </c>
      <c r="F49" s="21" t="s">
        <v>3</v>
      </c>
      <c r="G49" s="21" t="s">
        <v>353</v>
      </c>
      <c r="H49" s="25">
        <v>2623</v>
      </c>
      <c r="I49" s="21">
        <f>IF(TbRegistrosSaida[[#This Row],[Data do Caixa Realizado]]="",0,MONTH(TbRegistrosSaida[[#This Row],[Data do Caixa Realizado]]))</f>
        <v>2</v>
      </c>
      <c r="J49" s="21">
        <f>IF(TbRegistrosSaida[[#This Row],[Data do Caixa Realizado]]="",0,YEAR(TbRegistrosSaida[[#This Row],[Data do Caixa Realizado]]))</f>
        <v>2018</v>
      </c>
      <c r="K49" s="21">
        <f>IF(TbRegistrosSaida[[#This Row],[Data da Competência]]="",0,MONTH(TbRegistrosSaida[[#This Row],[Data da Competência]]))</f>
        <v>12</v>
      </c>
      <c r="L49" s="21">
        <f>IF(TbRegistrosSaida[[#This Row],[Data da Competência]]="",0,YEAR(TbRegistrosSaida[[#This Row],[Data da Competência]]))</f>
        <v>2017</v>
      </c>
      <c r="M49" s="57">
        <f>IF(TbRegistrosSaida[[#This Row],[Data do Caixa Previsto]]="",0,MONTH(TbRegistrosSaida[[#This Row],[Data do Caixa Previsto]]))</f>
        <v>2</v>
      </c>
      <c r="N49" s="58">
        <f>IF(TbRegistrosSaida[[#This Row],[Data do Caixa Previsto]]="",0,YEAR(TbRegistrosSaida[[#This Row],[Data do Caixa Previsto]]))</f>
        <v>2018</v>
      </c>
      <c r="O4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0" spans="2:15" hidden="1" x14ac:dyDescent="0.25">
      <c r="B50" s="20">
        <v>43098.200846805485</v>
      </c>
      <c r="C50" s="20">
        <v>43086</v>
      </c>
      <c r="D50" s="20">
        <v>43098.200846805485</v>
      </c>
      <c r="E50" s="21" t="s">
        <v>16</v>
      </c>
      <c r="F50" s="21" t="s">
        <v>17</v>
      </c>
      <c r="G50" s="21" t="s">
        <v>354</v>
      </c>
      <c r="H50" s="25">
        <v>3440</v>
      </c>
      <c r="I50" s="21">
        <f>IF(TbRegistrosSaida[[#This Row],[Data do Caixa Realizado]]="",0,MONTH(TbRegistrosSaida[[#This Row],[Data do Caixa Realizado]]))</f>
        <v>12</v>
      </c>
      <c r="J50" s="21">
        <f>IF(TbRegistrosSaida[[#This Row],[Data do Caixa Realizado]]="",0,YEAR(TbRegistrosSaida[[#This Row],[Data do Caixa Realizado]]))</f>
        <v>2017</v>
      </c>
      <c r="K50" s="21">
        <f>IF(TbRegistrosSaida[[#This Row],[Data da Competência]]="",0,MONTH(TbRegistrosSaida[[#This Row],[Data da Competência]]))</f>
        <v>12</v>
      </c>
      <c r="L50" s="21">
        <f>IF(TbRegistrosSaida[[#This Row],[Data da Competência]]="",0,YEAR(TbRegistrosSaida[[#This Row],[Data da Competência]]))</f>
        <v>2017</v>
      </c>
      <c r="M50" s="57">
        <f>IF(TbRegistrosSaida[[#This Row],[Data do Caixa Previsto]]="",0,MONTH(TbRegistrosSaida[[#This Row],[Data do Caixa Previsto]]))</f>
        <v>12</v>
      </c>
      <c r="N50" s="58">
        <f>IF(TbRegistrosSaida[[#This Row],[Data do Caixa Previsto]]="",0,YEAR(TbRegistrosSaida[[#This Row],[Data do Caixa Previsto]]))</f>
        <v>2017</v>
      </c>
      <c r="O5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1" spans="2:15" hidden="1" x14ac:dyDescent="0.25">
      <c r="B51" s="20">
        <v>43111.046742717648</v>
      </c>
      <c r="C51" s="20">
        <v>43089</v>
      </c>
      <c r="D51" s="20">
        <v>43111.046742717648</v>
      </c>
      <c r="E51" s="21" t="s">
        <v>16</v>
      </c>
      <c r="F51" s="21" t="s">
        <v>77</v>
      </c>
      <c r="G51" s="21" t="s">
        <v>355</v>
      </c>
      <c r="H51" s="25">
        <v>3993</v>
      </c>
      <c r="I51" s="21">
        <f>IF(TbRegistrosSaida[[#This Row],[Data do Caixa Realizado]]="",0,MONTH(TbRegistrosSaida[[#This Row],[Data do Caixa Realizado]]))</f>
        <v>1</v>
      </c>
      <c r="J51" s="21">
        <f>IF(TbRegistrosSaida[[#This Row],[Data do Caixa Realizado]]="",0,YEAR(TbRegistrosSaida[[#This Row],[Data do Caixa Realizado]]))</f>
        <v>2018</v>
      </c>
      <c r="K51" s="21">
        <f>IF(TbRegistrosSaida[[#This Row],[Data da Competência]]="",0,MONTH(TbRegistrosSaida[[#This Row],[Data da Competência]]))</f>
        <v>12</v>
      </c>
      <c r="L51" s="21">
        <f>IF(TbRegistrosSaida[[#This Row],[Data da Competência]]="",0,YEAR(TbRegistrosSaida[[#This Row],[Data da Competência]]))</f>
        <v>2017</v>
      </c>
      <c r="M51" s="57">
        <f>IF(TbRegistrosSaida[[#This Row],[Data do Caixa Previsto]]="",0,MONTH(TbRegistrosSaida[[#This Row],[Data do Caixa Previsto]]))</f>
        <v>1</v>
      </c>
      <c r="N51" s="58">
        <f>IF(TbRegistrosSaida[[#This Row],[Data do Caixa Previsto]]="",0,YEAR(TbRegistrosSaida[[#This Row],[Data do Caixa Previsto]]))</f>
        <v>2018</v>
      </c>
      <c r="O5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2" spans="2:15" hidden="1" x14ac:dyDescent="0.25">
      <c r="B52" s="20">
        <v>43148.048932403181</v>
      </c>
      <c r="C52" s="20">
        <v>43090</v>
      </c>
      <c r="D52" s="20">
        <v>43148.048932403181</v>
      </c>
      <c r="E52" s="21" t="s">
        <v>16</v>
      </c>
      <c r="F52" s="21" t="s">
        <v>77</v>
      </c>
      <c r="G52" s="21" t="s">
        <v>356</v>
      </c>
      <c r="H52" s="25">
        <v>3273</v>
      </c>
      <c r="I52" s="21">
        <f>IF(TbRegistrosSaida[[#This Row],[Data do Caixa Realizado]]="",0,MONTH(TbRegistrosSaida[[#This Row],[Data do Caixa Realizado]]))</f>
        <v>2</v>
      </c>
      <c r="J52" s="21">
        <f>IF(TbRegistrosSaida[[#This Row],[Data do Caixa Realizado]]="",0,YEAR(TbRegistrosSaida[[#This Row],[Data do Caixa Realizado]]))</f>
        <v>2018</v>
      </c>
      <c r="K52" s="21">
        <f>IF(TbRegistrosSaida[[#This Row],[Data da Competência]]="",0,MONTH(TbRegistrosSaida[[#This Row],[Data da Competência]]))</f>
        <v>12</v>
      </c>
      <c r="L52" s="21">
        <f>IF(TbRegistrosSaida[[#This Row],[Data da Competência]]="",0,YEAR(TbRegistrosSaida[[#This Row],[Data da Competência]]))</f>
        <v>2017</v>
      </c>
      <c r="M52" s="57">
        <f>IF(TbRegistrosSaida[[#This Row],[Data do Caixa Previsto]]="",0,MONTH(TbRegistrosSaida[[#This Row],[Data do Caixa Previsto]]))</f>
        <v>2</v>
      </c>
      <c r="N52" s="58">
        <f>IF(TbRegistrosSaida[[#This Row],[Data do Caixa Previsto]]="",0,YEAR(TbRegistrosSaida[[#This Row],[Data do Caixa Previsto]]))</f>
        <v>2018</v>
      </c>
      <c r="O5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3" spans="2:15" hidden="1" x14ac:dyDescent="0.25">
      <c r="B53" s="20">
        <v>43135.265910262075</v>
      </c>
      <c r="C53" s="20">
        <v>43094</v>
      </c>
      <c r="D53" s="20">
        <v>43135.265910262075</v>
      </c>
      <c r="E53" s="21" t="s">
        <v>16</v>
      </c>
      <c r="F53" s="21" t="s">
        <v>17</v>
      </c>
      <c r="G53" s="21" t="s">
        <v>357</v>
      </c>
      <c r="H53" s="25">
        <v>4494</v>
      </c>
      <c r="I53" s="21">
        <f>IF(TbRegistrosSaida[[#This Row],[Data do Caixa Realizado]]="",0,MONTH(TbRegistrosSaida[[#This Row],[Data do Caixa Realizado]]))</f>
        <v>2</v>
      </c>
      <c r="J53" s="21">
        <f>IF(TbRegistrosSaida[[#This Row],[Data do Caixa Realizado]]="",0,YEAR(TbRegistrosSaida[[#This Row],[Data do Caixa Realizado]]))</f>
        <v>2018</v>
      </c>
      <c r="K53" s="21">
        <f>IF(TbRegistrosSaida[[#This Row],[Data da Competência]]="",0,MONTH(TbRegistrosSaida[[#This Row],[Data da Competência]]))</f>
        <v>12</v>
      </c>
      <c r="L53" s="21">
        <f>IF(TbRegistrosSaida[[#This Row],[Data da Competência]]="",0,YEAR(TbRegistrosSaida[[#This Row],[Data da Competência]]))</f>
        <v>2017</v>
      </c>
      <c r="M53" s="57">
        <f>IF(TbRegistrosSaida[[#This Row],[Data do Caixa Previsto]]="",0,MONTH(TbRegistrosSaida[[#This Row],[Data do Caixa Previsto]]))</f>
        <v>2</v>
      </c>
      <c r="N53" s="58">
        <f>IF(TbRegistrosSaida[[#This Row],[Data do Caixa Previsto]]="",0,YEAR(TbRegistrosSaida[[#This Row],[Data do Caixa Previsto]]))</f>
        <v>2018</v>
      </c>
      <c r="O5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4" spans="2:15" hidden="1" x14ac:dyDescent="0.25">
      <c r="B54" s="20">
        <v>43124.925483598126</v>
      </c>
      <c r="C54" s="20">
        <v>43096</v>
      </c>
      <c r="D54" s="20">
        <v>43124.925483598126</v>
      </c>
      <c r="E54" s="21" t="s">
        <v>16</v>
      </c>
      <c r="F54" s="21" t="s">
        <v>49</v>
      </c>
      <c r="G54" s="21" t="s">
        <v>358</v>
      </c>
      <c r="H54" s="25">
        <v>2511</v>
      </c>
      <c r="I54" s="21">
        <f>IF(TbRegistrosSaida[[#This Row],[Data do Caixa Realizado]]="",0,MONTH(TbRegistrosSaida[[#This Row],[Data do Caixa Realizado]]))</f>
        <v>1</v>
      </c>
      <c r="J54" s="21">
        <f>IF(TbRegistrosSaida[[#This Row],[Data do Caixa Realizado]]="",0,YEAR(TbRegistrosSaida[[#This Row],[Data do Caixa Realizado]]))</f>
        <v>2018</v>
      </c>
      <c r="K54" s="21">
        <f>IF(TbRegistrosSaida[[#This Row],[Data da Competência]]="",0,MONTH(TbRegistrosSaida[[#This Row],[Data da Competência]]))</f>
        <v>12</v>
      </c>
      <c r="L54" s="21">
        <f>IF(TbRegistrosSaida[[#This Row],[Data da Competência]]="",0,YEAR(TbRegistrosSaida[[#This Row],[Data da Competência]]))</f>
        <v>2017</v>
      </c>
      <c r="M54" s="57">
        <f>IF(TbRegistrosSaida[[#This Row],[Data do Caixa Previsto]]="",0,MONTH(TbRegistrosSaida[[#This Row],[Data do Caixa Previsto]]))</f>
        <v>1</v>
      </c>
      <c r="N54" s="58">
        <f>IF(TbRegistrosSaida[[#This Row],[Data do Caixa Previsto]]="",0,YEAR(TbRegistrosSaida[[#This Row],[Data do Caixa Previsto]]))</f>
        <v>2018</v>
      </c>
      <c r="O5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5" spans="2:15" hidden="1" x14ac:dyDescent="0.25">
      <c r="B55" s="20">
        <v>43143.989919163403</v>
      </c>
      <c r="C55" s="20">
        <v>43098</v>
      </c>
      <c r="D55" s="20">
        <v>43143.989919163403</v>
      </c>
      <c r="E55" s="21" t="s">
        <v>16</v>
      </c>
      <c r="F55" s="21" t="s">
        <v>3</v>
      </c>
      <c r="G55" s="21" t="s">
        <v>359</v>
      </c>
      <c r="H55" s="25">
        <v>2015</v>
      </c>
      <c r="I55" s="21">
        <f>IF(TbRegistrosSaida[[#This Row],[Data do Caixa Realizado]]="",0,MONTH(TbRegistrosSaida[[#This Row],[Data do Caixa Realizado]]))</f>
        <v>2</v>
      </c>
      <c r="J55" s="21">
        <f>IF(TbRegistrosSaida[[#This Row],[Data do Caixa Realizado]]="",0,YEAR(TbRegistrosSaida[[#This Row],[Data do Caixa Realizado]]))</f>
        <v>2018</v>
      </c>
      <c r="K55" s="21">
        <f>IF(TbRegistrosSaida[[#This Row],[Data da Competência]]="",0,MONTH(TbRegistrosSaida[[#This Row],[Data da Competência]]))</f>
        <v>12</v>
      </c>
      <c r="L55" s="21">
        <f>IF(TbRegistrosSaida[[#This Row],[Data da Competência]]="",0,YEAR(TbRegistrosSaida[[#This Row],[Data da Competência]]))</f>
        <v>2017</v>
      </c>
      <c r="M55" s="57">
        <f>IF(TbRegistrosSaida[[#This Row],[Data do Caixa Previsto]]="",0,MONTH(TbRegistrosSaida[[#This Row],[Data do Caixa Previsto]]))</f>
        <v>2</v>
      </c>
      <c r="N55" s="58">
        <f>IF(TbRegistrosSaida[[#This Row],[Data do Caixa Previsto]]="",0,YEAR(TbRegistrosSaida[[#This Row],[Data do Caixa Previsto]]))</f>
        <v>2018</v>
      </c>
      <c r="O5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6" spans="2:15" hidden="1" x14ac:dyDescent="0.25">
      <c r="B56" s="20">
        <v>43180.312256585908</v>
      </c>
      <c r="C56" s="20">
        <v>43100</v>
      </c>
      <c r="D56" s="20">
        <v>43151.353970851676</v>
      </c>
      <c r="E56" s="21" t="s">
        <v>16</v>
      </c>
      <c r="F56" s="21" t="s">
        <v>5</v>
      </c>
      <c r="G56" s="21" t="s">
        <v>360</v>
      </c>
      <c r="H56" s="25">
        <v>3413</v>
      </c>
      <c r="I56" s="21">
        <f>IF(TbRegistrosSaida[[#This Row],[Data do Caixa Realizado]]="",0,MONTH(TbRegistrosSaida[[#This Row],[Data do Caixa Realizado]]))</f>
        <v>3</v>
      </c>
      <c r="J56" s="21">
        <f>IF(TbRegistrosSaida[[#This Row],[Data do Caixa Realizado]]="",0,YEAR(TbRegistrosSaida[[#This Row],[Data do Caixa Realizado]]))</f>
        <v>2018</v>
      </c>
      <c r="K56" s="21">
        <f>IF(TbRegistrosSaida[[#This Row],[Data da Competência]]="",0,MONTH(TbRegistrosSaida[[#This Row],[Data da Competência]]))</f>
        <v>12</v>
      </c>
      <c r="L56" s="21">
        <f>IF(TbRegistrosSaida[[#This Row],[Data da Competência]]="",0,YEAR(TbRegistrosSaida[[#This Row],[Data da Competência]]))</f>
        <v>2017</v>
      </c>
      <c r="M56" s="57">
        <f>IF(TbRegistrosSaida[[#This Row],[Data do Caixa Previsto]]="",0,MONTH(TbRegistrosSaida[[#This Row],[Data do Caixa Previsto]]))</f>
        <v>2</v>
      </c>
      <c r="N56" s="58">
        <f>IF(TbRegistrosSaida[[#This Row],[Data do Caixa Previsto]]="",0,YEAR(TbRegistrosSaida[[#This Row],[Data do Caixa Previsto]]))</f>
        <v>2018</v>
      </c>
      <c r="O5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28.958285734232049</v>
      </c>
    </row>
    <row r="57" spans="2:15" hidden="1" x14ac:dyDescent="0.25">
      <c r="B57" s="20">
        <v>43144.795115927831</v>
      </c>
      <c r="C57" s="20">
        <v>43103</v>
      </c>
      <c r="D57" s="20">
        <v>43108.84859147996</v>
      </c>
      <c r="E57" s="21" t="s">
        <v>16</v>
      </c>
      <c r="F57" s="21" t="s">
        <v>49</v>
      </c>
      <c r="G57" s="21" t="s">
        <v>361</v>
      </c>
      <c r="H57" s="25">
        <v>4087</v>
      </c>
      <c r="I57" s="21">
        <f>IF(TbRegistrosSaida[[#This Row],[Data do Caixa Realizado]]="",0,MONTH(TbRegistrosSaida[[#This Row],[Data do Caixa Realizado]]))</f>
        <v>2</v>
      </c>
      <c r="J57" s="21">
        <f>IF(TbRegistrosSaida[[#This Row],[Data do Caixa Realizado]]="",0,YEAR(TbRegistrosSaida[[#This Row],[Data do Caixa Realizado]]))</f>
        <v>2018</v>
      </c>
      <c r="K57" s="21">
        <f>IF(TbRegistrosSaida[[#This Row],[Data da Competência]]="",0,MONTH(TbRegistrosSaida[[#This Row],[Data da Competência]]))</f>
        <v>1</v>
      </c>
      <c r="L57" s="21">
        <f>IF(TbRegistrosSaida[[#This Row],[Data da Competência]]="",0,YEAR(TbRegistrosSaida[[#This Row],[Data da Competência]]))</f>
        <v>2018</v>
      </c>
      <c r="M57" s="57">
        <f>IF(TbRegistrosSaida[[#This Row],[Data do Caixa Previsto]]="",0,MONTH(TbRegistrosSaida[[#This Row],[Data do Caixa Previsto]]))</f>
        <v>1</v>
      </c>
      <c r="N57" s="58">
        <f>IF(TbRegistrosSaida[[#This Row],[Data do Caixa Previsto]]="",0,YEAR(TbRegistrosSaida[[#This Row],[Data do Caixa Previsto]]))</f>
        <v>2018</v>
      </c>
      <c r="O5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35.946524447870615</v>
      </c>
    </row>
    <row r="58" spans="2:15" hidden="1" x14ac:dyDescent="0.25">
      <c r="B58" s="20">
        <v>43117.371907988454</v>
      </c>
      <c r="C58" s="20">
        <v>43106</v>
      </c>
      <c r="D58" s="20">
        <v>43117.371907988454</v>
      </c>
      <c r="E58" s="21" t="s">
        <v>16</v>
      </c>
      <c r="F58" s="21" t="s">
        <v>77</v>
      </c>
      <c r="G58" s="21" t="s">
        <v>362</v>
      </c>
      <c r="H58" s="25">
        <v>2441</v>
      </c>
      <c r="I58" s="21">
        <f>IF(TbRegistrosSaida[[#This Row],[Data do Caixa Realizado]]="",0,MONTH(TbRegistrosSaida[[#This Row],[Data do Caixa Realizado]]))</f>
        <v>1</v>
      </c>
      <c r="J58" s="21">
        <f>IF(TbRegistrosSaida[[#This Row],[Data do Caixa Realizado]]="",0,YEAR(TbRegistrosSaida[[#This Row],[Data do Caixa Realizado]]))</f>
        <v>2018</v>
      </c>
      <c r="K58" s="21">
        <f>IF(TbRegistrosSaida[[#This Row],[Data da Competência]]="",0,MONTH(TbRegistrosSaida[[#This Row],[Data da Competência]]))</f>
        <v>1</v>
      </c>
      <c r="L58" s="21">
        <f>IF(TbRegistrosSaida[[#This Row],[Data da Competência]]="",0,YEAR(TbRegistrosSaida[[#This Row],[Data da Competência]]))</f>
        <v>2018</v>
      </c>
      <c r="M58" s="57">
        <f>IF(TbRegistrosSaida[[#This Row],[Data do Caixa Previsto]]="",0,MONTH(TbRegistrosSaida[[#This Row],[Data do Caixa Previsto]]))</f>
        <v>1</v>
      </c>
      <c r="N58" s="58">
        <f>IF(TbRegistrosSaida[[#This Row],[Data do Caixa Previsto]]="",0,YEAR(TbRegistrosSaida[[#This Row],[Data do Caixa Previsto]]))</f>
        <v>2018</v>
      </c>
      <c r="O5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9" spans="2:15" hidden="1" x14ac:dyDescent="0.25">
      <c r="B59" s="20">
        <v>43127.72575701114</v>
      </c>
      <c r="C59" s="20">
        <v>43109</v>
      </c>
      <c r="D59" s="20">
        <v>43127.72575701114</v>
      </c>
      <c r="E59" s="21" t="s">
        <v>16</v>
      </c>
      <c r="F59" s="21" t="s">
        <v>3</v>
      </c>
      <c r="G59" s="21" t="s">
        <v>363</v>
      </c>
      <c r="H59" s="25">
        <v>3598</v>
      </c>
      <c r="I59" s="21">
        <f>IF(TbRegistrosSaida[[#This Row],[Data do Caixa Realizado]]="",0,MONTH(TbRegistrosSaida[[#This Row],[Data do Caixa Realizado]]))</f>
        <v>1</v>
      </c>
      <c r="J59" s="21">
        <f>IF(TbRegistrosSaida[[#This Row],[Data do Caixa Realizado]]="",0,YEAR(TbRegistrosSaida[[#This Row],[Data do Caixa Realizado]]))</f>
        <v>2018</v>
      </c>
      <c r="K59" s="21">
        <f>IF(TbRegistrosSaida[[#This Row],[Data da Competência]]="",0,MONTH(TbRegistrosSaida[[#This Row],[Data da Competência]]))</f>
        <v>1</v>
      </c>
      <c r="L59" s="21">
        <f>IF(TbRegistrosSaida[[#This Row],[Data da Competência]]="",0,YEAR(TbRegistrosSaida[[#This Row],[Data da Competência]]))</f>
        <v>2018</v>
      </c>
      <c r="M59" s="57">
        <f>IF(TbRegistrosSaida[[#This Row],[Data do Caixa Previsto]]="",0,MONTH(TbRegistrosSaida[[#This Row],[Data do Caixa Previsto]]))</f>
        <v>1</v>
      </c>
      <c r="N59" s="58">
        <f>IF(TbRegistrosSaida[[#This Row],[Data do Caixa Previsto]]="",0,YEAR(TbRegistrosSaida[[#This Row],[Data do Caixa Previsto]]))</f>
        <v>2018</v>
      </c>
      <c r="O5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0" spans="2:15" hidden="1" x14ac:dyDescent="0.25">
      <c r="B60" s="20">
        <v>43118.823326450649</v>
      </c>
      <c r="C60" s="20">
        <v>43110</v>
      </c>
      <c r="D60" s="20">
        <v>43118.823326450649</v>
      </c>
      <c r="E60" s="21" t="s">
        <v>16</v>
      </c>
      <c r="F60" s="21" t="s">
        <v>77</v>
      </c>
      <c r="G60" s="21" t="s">
        <v>364</v>
      </c>
      <c r="H60" s="25">
        <v>4895</v>
      </c>
      <c r="I60" s="21">
        <f>IF(TbRegistrosSaida[[#This Row],[Data do Caixa Realizado]]="",0,MONTH(TbRegistrosSaida[[#This Row],[Data do Caixa Realizado]]))</f>
        <v>1</v>
      </c>
      <c r="J60" s="21">
        <f>IF(TbRegistrosSaida[[#This Row],[Data do Caixa Realizado]]="",0,YEAR(TbRegistrosSaida[[#This Row],[Data do Caixa Realizado]]))</f>
        <v>2018</v>
      </c>
      <c r="K60" s="21">
        <f>IF(TbRegistrosSaida[[#This Row],[Data da Competência]]="",0,MONTH(TbRegistrosSaida[[#This Row],[Data da Competência]]))</f>
        <v>1</v>
      </c>
      <c r="L60" s="21">
        <f>IF(TbRegistrosSaida[[#This Row],[Data da Competência]]="",0,YEAR(TbRegistrosSaida[[#This Row],[Data da Competência]]))</f>
        <v>2018</v>
      </c>
      <c r="M60" s="57">
        <f>IF(TbRegistrosSaida[[#This Row],[Data do Caixa Previsto]]="",0,MONTH(TbRegistrosSaida[[#This Row],[Data do Caixa Previsto]]))</f>
        <v>1</v>
      </c>
      <c r="N60" s="58">
        <f>IF(TbRegistrosSaida[[#This Row],[Data do Caixa Previsto]]="",0,YEAR(TbRegistrosSaida[[#This Row],[Data do Caixa Previsto]]))</f>
        <v>2018</v>
      </c>
      <c r="O6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1" spans="2:15" hidden="1" x14ac:dyDescent="0.25">
      <c r="B61" s="20">
        <v>43167.544338803593</v>
      </c>
      <c r="C61" s="20">
        <v>43112</v>
      </c>
      <c r="D61" s="20">
        <v>43167.544338803593</v>
      </c>
      <c r="E61" s="21" t="s">
        <v>16</v>
      </c>
      <c r="F61" s="21" t="s">
        <v>77</v>
      </c>
      <c r="G61" s="21" t="s">
        <v>365</v>
      </c>
      <c r="H61" s="25">
        <v>971</v>
      </c>
      <c r="I61" s="21">
        <f>IF(TbRegistrosSaida[[#This Row],[Data do Caixa Realizado]]="",0,MONTH(TbRegistrosSaida[[#This Row],[Data do Caixa Realizado]]))</f>
        <v>3</v>
      </c>
      <c r="J61" s="21">
        <f>IF(TbRegistrosSaida[[#This Row],[Data do Caixa Realizado]]="",0,YEAR(TbRegistrosSaida[[#This Row],[Data do Caixa Realizado]]))</f>
        <v>2018</v>
      </c>
      <c r="K61" s="21">
        <f>IF(TbRegistrosSaida[[#This Row],[Data da Competência]]="",0,MONTH(TbRegistrosSaida[[#This Row],[Data da Competência]]))</f>
        <v>1</v>
      </c>
      <c r="L61" s="21">
        <f>IF(TbRegistrosSaida[[#This Row],[Data da Competência]]="",0,YEAR(TbRegistrosSaida[[#This Row],[Data da Competência]]))</f>
        <v>2018</v>
      </c>
      <c r="M61" s="57">
        <f>IF(TbRegistrosSaida[[#This Row],[Data do Caixa Previsto]]="",0,MONTH(TbRegistrosSaida[[#This Row],[Data do Caixa Previsto]]))</f>
        <v>3</v>
      </c>
      <c r="N61" s="58">
        <f>IF(TbRegistrosSaida[[#This Row],[Data do Caixa Previsto]]="",0,YEAR(TbRegistrosSaida[[#This Row],[Data do Caixa Previsto]]))</f>
        <v>2018</v>
      </c>
      <c r="O6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2" spans="2:15" hidden="1" x14ac:dyDescent="0.25">
      <c r="B62" s="20">
        <v>43137.043955849207</v>
      </c>
      <c r="C62" s="20">
        <v>43113</v>
      </c>
      <c r="D62" s="20">
        <v>43137.043955849207</v>
      </c>
      <c r="E62" s="21" t="s">
        <v>16</v>
      </c>
      <c r="F62" s="21" t="s">
        <v>49</v>
      </c>
      <c r="G62" s="21" t="s">
        <v>366</v>
      </c>
      <c r="H62" s="25">
        <v>556</v>
      </c>
      <c r="I62" s="21">
        <f>IF(TbRegistrosSaida[[#This Row],[Data do Caixa Realizado]]="",0,MONTH(TbRegistrosSaida[[#This Row],[Data do Caixa Realizado]]))</f>
        <v>2</v>
      </c>
      <c r="J62" s="21">
        <f>IF(TbRegistrosSaida[[#This Row],[Data do Caixa Realizado]]="",0,YEAR(TbRegistrosSaida[[#This Row],[Data do Caixa Realizado]]))</f>
        <v>2018</v>
      </c>
      <c r="K62" s="21">
        <f>IF(TbRegistrosSaida[[#This Row],[Data da Competência]]="",0,MONTH(TbRegistrosSaida[[#This Row],[Data da Competência]]))</f>
        <v>1</v>
      </c>
      <c r="L62" s="21">
        <f>IF(TbRegistrosSaida[[#This Row],[Data da Competência]]="",0,YEAR(TbRegistrosSaida[[#This Row],[Data da Competência]]))</f>
        <v>2018</v>
      </c>
      <c r="M62" s="57">
        <f>IF(TbRegistrosSaida[[#This Row],[Data do Caixa Previsto]]="",0,MONTH(TbRegistrosSaida[[#This Row],[Data do Caixa Previsto]]))</f>
        <v>2</v>
      </c>
      <c r="N62" s="58">
        <f>IF(TbRegistrosSaida[[#This Row],[Data do Caixa Previsto]]="",0,YEAR(TbRegistrosSaida[[#This Row],[Data do Caixa Previsto]]))</f>
        <v>2018</v>
      </c>
      <c r="O6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3" spans="2:15" hidden="1" x14ac:dyDescent="0.25">
      <c r="B63" s="20">
        <v>43144.881827671154</v>
      </c>
      <c r="C63" s="20">
        <v>43114</v>
      </c>
      <c r="D63" s="20">
        <v>43144.881827671154</v>
      </c>
      <c r="E63" s="21" t="s">
        <v>16</v>
      </c>
      <c r="F63" s="21" t="s">
        <v>49</v>
      </c>
      <c r="G63" s="21" t="s">
        <v>367</v>
      </c>
      <c r="H63" s="25">
        <v>1977</v>
      </c>
      <c r="I63" s="21">
        <f>IF(TbRegistrosSaida[[#This Row],[Data do Caixa Realizado]]="",0,MONTH(TbRegistrosSaida[[#This Row],[Data do Caixa Realizado]]))</f>
        <v>2</v>
      </c>
      <c r="J63" s="21">
        <f>IF(TbRegistrosSaida[[#This Row],[Data do Caixa Realizado]]="",0,YEAR(TbRegistrosSaida[[#This Row],[Data do Caixa Realizado]]))</f>
        <v>2018</v>
      </c>
      <c r="K63" s="21">
        <f>IF(TbRegistrosSaida[[#This Row],[Data da Competência]]="",0,MONTH(TbRegistrosSaida[[#This Row],[Data da Competência]]))</f>
        <v>1</v>
      </c>
      <c r="L63" s="21">
        <f>IF(TbRegistrosSaida[[#This Row],[Data da Competência]]="",0,YEAR(TbRegistrosSaida[[#This Row],[Data da Competência]]))</f>
        <v>2018</v>
      </c>
      <c r="M63" s="57">
        <f>IF(TbRegistrosSaida[[#This Row],[Data do Caixa Previsto]]="",0,MONTH(TbRegistrosSaida[[#This Row],[Data do Caixa Previsto]]))</f>
        <v>2</v>
      </c>
      <c r="N63" s="58">
        <f>IF(TbRegistrosSaida[[#This Row],[Data do Caixa Previsto]]="",0,YEAR(TbRegistrosSaida[[#This Row],[Data do Caixa Previsto]]))</f>
        <v>2018</v>
      </c>
      <c r="O6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4" spans="2:15" hidden="1" x14ac:dyDescent="0.25">
      <c r="B64" s="20">
        <v>43127.357625825418</v>
      </c>
      <c r="C64" s="20">
        <v>43116</v>
      </c>
      <c r="D64" s="20">
        <v>43127.357625825418</v>
      </c>
      <c r="E64" s="21" t="s">
        <v>16</v>
      </c>
      <c r="F64" s="21" t="s">
        <v>77</v>
      </c>
      <c r="G64" s="21" t="s">
        <v>320</v>
      </c>
      <c r="H64" s="25">
        <v>2951</v>
      </c>
      <c r="I64" s="21">
        <f>IF(TbRegistrosSaida[[#This Row],[Data do Caixa Realizado]]="",0,MONTH(TbRegistrosSaida[[#This Row],[Data do Caixa Realizado]]))</f>
        <v>1</v>
      </c>
      <c r="J64" s="21">
        <f>IF(TbRegistrosSaida[[#This Row],[Data do Caixa Realizado]]="",0,YEAR(TbRegistrosSaida[[#This Row],[Data do Caixa Realizado]]))</f>
        <v>2018</v>
      </c>
      <c r="K64" s="21">
        <f>IF(TbRegistrosSaida[[#This Row],[Data da Competência]]="",0,MONTH(TbRegistrosSaida[[#This Row],[Data da Competência]]))</f>
        <v>1</v>
      </c>
      <c r="L64" s="21">
        <f>IF(TbRegistrosSaida[[#This Row],[Data da Competência]]="",0,YEAR(TbRegistrosSaida[[#This Row],[Data da Competência]]))</f>
        <v>2018</v>
      </c>
      <c r="M64" s="57">
        <f>IF(TbRegistrosSaida[[#This Row],[Data do Caixa Previsto]]="",0,MONTH(TbRegistrosSaida[[#This Row],[Data do Caixa Previsto]]))</f>
        <v>1</v>
      </c>
      <c r="N64" s="58">
        <f>IF(TbRegistrosSaida[[#This Row],[Data do Caixa Previsto]]="",0,YEAR(TbRegistrosSaida[[#This Row],[Data do Caixa Previsto]]))</f>
        <v>2018</v>
      </c>
      <c r="O6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5" spans="2:15" hidden="1" x14ac:dyDescent="0.25">
      <c r="B65" s="20">
        <v>43164.408101095891</v>
      </c>
      <c r="C65" s="20">
        <v>43120</v>
      </c>
      <c r="D65" s="20">
        <v>43164.408101095891</v>
      </c>
      <c r="E65" s="21" t="s">
        <v>16</v>
      </c>
      <c r="F65" s="21" t="s">
        <v>77</v>
      </c>
      <c r="G65" s="21" t="s">
        <v>368</v>
      </c>
      <c r="H65" s="25">
        <v>2535</v>
      </c>
      <c r="I65" s="21">
        <f>IF(TbRegistrosSaida[[#This Row],[Data do Caixa Realizado]]="",0,MONTH(TbRegistrosSaida[[#This Row],[Data do Caixa Realizado]]))</f>
        <v>3</v>
      </c>
      <c r="J65" s="21">
        <f>IF(TbRegistrosSaida[[#This Row],[Data do Caixa Realizado]]="",0,YEAR(TbRegistrosSaida[[#This Row],[Data do Caixa Realizado]]))</f>
        <v>2018</v>
      </c>
      <c r="K65" s="21">
        <f>IF(TbRegistrosSaida[[#This Row],[Data da Competência]]="",0,MONTH(TbRegistrosSaida[[#This Row],[Data da Competência]]))</f>
        <v>1</v>
      </c>
      <c r="L65" s="21">
        <f>IF(TbRegistrosSaida[[#This Row],[Data da Competência]]="",0,YEAR(TbRegistrosSaida[[#This Row],[Data da Competência]]))</f>
        <v>2018</v>
      </c>
      <c r="M65" s="57">
        <f>IF(TbRegistrosSaida[[#This Row],[Data do Caixa Previsto]]="",0,MONTH(TbRegistrosSaida[[#This Row],[Data do Caixa Previsto]]))</f>
        <v>3</v>
      </c>
      <c r="N65" s="58">
        <f>IF(TbRegistrosSaida[[#This Row],[Data do Caixa Previsto]]="",0,YEAR(TbRegistrosSaida[[#This Row],[Data do Caixa Previsto]]))</f>
        <v>2018</v>
      </c>
      <c r="O6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6" spans="2:15" hidden="1" x14ac:dyDescent="0.25">
      <c r="B66" s="20">
        <v>43141.579590343346</v>
      </c>
      <c r="C66" s="20">
        <v>43121</v>
      </c>
      <c r="D66" s="20">
        <v>43141.579590343346</v>
      </c>
      <c r="E66" s="21" t="s">
        <v>16</v>
      </c>
      <c r="F66" s="21" t="s">
        <v>17</v>
      </c>
      <c r="G66" s="21" t="s">
        <v>369</v>
      </c>
      <c r="H66" s="25">
        <v>3057</v>
      </c>
      <c r="I66" s="21">
        <f>IF(TbRegistrosSaida[[#This Row],[Data do Caixa Realizado]]="",0,MONTH(TbRegistrosSaida[[#This Row],[Data do Caixa Realizado]]))</f>
        <v>2</v>
      </c>
      <c r="J66" s="21">
        <f>IF(TbRegistrosSaida[[#This Row],[Data do Caixa Realizado]]="",0,YEAR(TbRegistrosSaida[[#This Row],[Data do Caixa Realizado]]))</f>
        <v>2018</v>
      </c>
      <c r="K66" s="21">
        <f>IF(TbRegistrosSaida[[#This Row],[Data da Competência]]="",0,MONTH(TbRegistrosSaida[[#This Row],[Data da Competência]]))</f>
        <v>1</v>
      </c>
      <c r="L66" s="21">
        <f>IF(TbRegistrosSaida[[#This Row],[Data da Competência]]="",0,YEAR(TbRegistrosSaida[[#This Row],[Data da Competência]]))</f>
        <v>2018</v>
      </c>
      <c r="M66" s="57">
        <f>IF(TbRegistrosSaida[[#This Row],[Data do Caixa Previsto]]="",0,MONTH(TbRegistrosSaida[[#This Row],[Data do Caixa Previsto]]))</f>
        <v>2</v>
      </c>
      <c r="N66" s="58">
        <f>IF(TbRegistrosSaida[[#This Row],[Data do Caixa Previsto]]="",0,YEAR(TbRegistrosSaida[[#This Row],[Data do Caixa Previsto]]))</f>
        <v>2018</v>
      </c>
      <c r="O6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7" spans="2:15" hidden="1" x14ac:dyDescent="0.25">
      <c r="B67" s="20">
        <v>43140.52607681365</v>
      </c>
      <c r="C67" s="20">
        <v>43123</v>
      </c>
      <c r="D67" s="20">
        <v>43140.52607681365</v>
      </c>
      <c r="E67" s="21" t="s">
        <v>16</v>
      </c>
      <c r="F67" s="21" t="s">
        <v>49</v>
      </c>
      <c r="G67" s="21" t="s">
        <v>370</v>
      </c>
      <c r="H67" s="25">
        <v>3152</v>
      </c>
      <c r="I67" s="21">
        <f>IF(TbRegistrosSaida[[#This Row],[Data do Caixa Realizado]]="",0,MONTH(TbRegistrosSaida[[#This Row],[Data do Caixa Realizado]]))</f>
        <v>2</v>
      </c>
      <c r="J67" s="21">
        <f>IF(TbRegistrosSaida[[#This Row],[Data do Caixa Realizado]]="",0,YEAR(TbRegistrosSaida[[#This Row],[Data do Caixa Realizado]]))</f>
        <v>2018</v>
      </c>
      <c r="K67" s="21">
        <f>IF(TbRegistrosSaida[[#This Row],[Data da Competência]]="",0,MONTH(TbRegistrosSaida[[#This Row],[Data da Competência]]))</f>
        <v>1</v>
      </c>
      <c r="L67" s="21">
        <f>IF(TbRegistrosSaida[[#This Row],[Data da Competência]]="",0,YEAR(TbRegistrosSaida[[#This Row],[Data da Competência]]))</f>
        <v>2018</v>
      </c>
      <c r="M67" s="57">
        <f>IF(TbRegistrosSaida[[#This Row],[Data do Caixa Previsto]]="",0,MONTH(TbRegistrosSaida[[#This Row],[Data do Caixa Previsto]]))</f>
        <v>2</v>
      </c>
      <c r="N67" s="58">
        <f>IF(TbRegistrosSaida[[#This Row],[Data do Caixa Previsto]]="",0,YEAR(TbRegistrosSaida[[#This Row],[Data do Caixa Previsto]]))</f>
        <v>2018</v>
      </c>
      <c r="O6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8" spans="2:15" hidden="1" x14ac:dyDescent="0.25">
      <c r="B68" s="20">
        <v>43167.136566438901</v>
      </c>
      <c r="C68" s="20">
        <v>43125</v>
      </c>
      <c r="D68" s="20">
        <v>43167.136566438901</v>
      </c>
      <c r="E68" s="21" t="s">
        <v>16</v>
      </c>
      <c r="F68" s="21" t="s">
        <v>5</v>
      </c>
      <c r="G68" s="21" t="s">
        <v>371</v>
      </c>
      <c r="H68" s="25">
        <v>2247</v>
      </c>
      <c r="I68" s="21">
        <f>IF(TbRegistrosSaida[[#This Row],[Data do Caixa Realizado]]="",0,MONTH(TbRegistrosSaida[[#This Row],[Data do Caixa Realizado]]))</f>
        <v>3</v>
      </c>
      <c r="J68" s="21">
        <f>IF(TbRegistrosSaida[[#This Row],[Data do Caixa Realizado]]="",0,YEAR(TbRegistrosSaida[[#This Row],[Data do Caixa Realizado]]))</f>
        <v>2018</v>
      </c>
      <c r="K68" s="21">
        <f>IF(TbRegistrosSaida[[#This Row],[Data da Competência]]="",0,MONTH(TbRegistrosSaida[[#This Row],[Data da Competência]]))</f>
        <v>1</v>
      </c>
      <c r="L68" s="21">
        <f>IF(TbRegistrosSaida[[#This Row],[Data da Competência]]="",0,YEAR(TbRegistrosSaida[[#This Row],[Data da Competência]]))</f>
        <v>2018</v>
      </c>
      <c r="M68" s="57">
        <f>IF(TbRegistrosSaida[[#This Row],[Data do Caixa Previsto]]="",0,MONTH(TbRegistrosSaida[[#This Row],[Data do Caixa Previsto]]))</f>
        <v>3</v>
      </c>
      <c r="N68" s="58">
        <f>IF(TbRegistrosSaida[[#This Row],[Data do Caixa Previsto]]="",0,YEAR(TbRegistrosSaida[[#This Row],[Data do Caixa Previsto]]))</f>
        <v>2018</v>
      </c>
      <c r="O6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9" spans="2:15" hidden="1" x14ac:dyDescent="0.25">
      <c r="B69" s="20">
        <v>43180.080222393961</v>
      </c>
      <c r="C69" s="20">
        <v>43127</v>
      </c>
      <c r="D69" s="20">
        <v>43180.080222393961</v>
      </c>
      <c r="E69" s="21" t="s">
        <v>16</v>
      </c>
      <c r="F69" s="21" t="s">
        <v>3</v>
      </c>
      <c r="G69" s="21" t="s">
        <v>372</v>
      </c>
      <c r="H69" s="25">
        <v>2456</v>
      </c>
      <c r="I69" s="21">
        <f>IF(TbRegistrosSaida[[#This Row],[Data do Caixa Realizado]]="",0,MONTH(TbRegistrosSaida[[#This Row],[Data do Caixa Realizado]]))</f>
        <v>3</v>
      </c>
      <c r="J69" s="21">
        <f>IF(TbRegistrosSaida[[#This Row],[Data do Caixa Realizado]]="",0,YEAR(TbRegistrosSaida[[#This Row],[Data do Caixa Realizado]]))</f>
        <v>2018</v>
      </c>
      <c r="K69" s="21">
        <f>IF(TbRegistrosSaida[[#This Row],[Data da Competência]]="",0,MONTH(TbRegistrosSaida[[#This Row],[Data da Competência]]))</f>
        <v>1</v>
      </c>
      <c r="L69" s="21">
        <f>IF(TbRegistrosSaida[[#This Row],[Data da Competência]]="",0,YEAR(TbRegistrosSaida[[#This Row],[Data da Competência]]))</f>
        <v>2018</v>
      </c>
      <c r="M69" s="57">
        <f>IF(TbRegistrosSaida[[#This Row],[Data do Caixa Previsto]]="",0,MONTH(TbRegistrosSaida[[#This Row],[Data do Caixa Previsto]]))</f>
        <v>3</v>
      </c>
      <c r="N69" s="58">
        <f>IF(TbRegistrosSaida[[#This Row],[Data do Caixa Previsto]]="",0,YEAR(TbRegistrosSaida[[#This Row],[Data do Caixa Previsto]]))</f>
        <v>2018</v>
      </c>
      <c r="O6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0" spans="2:15" hidden="1" x14ac:dyDescent="0.25">
      <c r="B70" s="20">
        <v>43153.557863903276</v>
      </c>
      <c r="C70" s="20">
        <v>43129</v>
      </c>
      <c r="D70" s="20">
        <v>43142.593518246249</v>
      </c>
      <c r="E70" s="21" t="s">
        <v>16</v>
      </c>
      <c r="F70" s="21" t="s">
        <v>77</v>
      </c>
      <c r="G70" s="21" t="s">
        <v>373</v>
      </c>
      <c r="H70" s="25">
        <v>3801</v>
      </c>
      <c r="I70" s="21">
        <f>IF(TbRegistrosSaida[[#This Row],[Data do Caixa Realizado]]="",0,MONTH(TbRegistrosSaida[[#This Row],[Data do Caixa Realizado]]))</f>
        <v>2</v>
      </c>
      <c r="J70" s="21">
        <f>IF(TbRegistrosSaida[[#This Row],[Data do Caixa Realizado]]="",0,YEAR(TbRegistrosSaida[[#This Row],[Data do Caixa Realizado]]))</f>
        <v>2018</v>
      </c>
      <c r="K70" s="21">
        <f>IF(TbRegistrosSaida[[#This Row],[Data da Competência]]="",0,MONTH(TbRegistrosSaida[[#This Row],[Data da Competência]]))</f>
        <v>1</v>
      </c>
      <c r="L70" s="21">
        <f>IF(TbRegistrosSaida[[#This Row],[Data da Competência]]="",0,YEAR(TbRegistrosSaida[[#This Row],[Data da Competência]]))</f>
        <v>2018</v>
      </c>
      <c r="M70" s="57">
        <f>IF(TbRegistrosSaida[[#This Row],[Data do Caixa Previsto]]="",0,MONTH(TbRegistrosSaida[[#This Row],[Data do Caixa Previsto]]))</f>
        <v>2</v>
      </c>
      <c r="N70" s="58">
        <f>IF(TbRegistrosSaida[[#This Row],[Data do Caixa Previsto]]="",0,YEAR(TbRegistrosSaida[[#This Row],[Data do Caixa Previsto]]))</f>
        <v>2018</v>
      </c>
      <c r="O7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10.96434565702657</v>
      </c>
    </row>
    <row r="71" spans="2:15" hidden="1" x14ac:dyDescent="0.25">
      <c r="B71" s="20">
        <v>43144.375909015784</v>
      </c>
      <c r="C71" s="20">
        <v>43131</v>
      </c>
      <c r="D71" s="20">
        <v>43144.375909015784</v>
      </c>
      <c r="E71" s="21" t="s">
        <v>16</v>
      </c>
      <c r="F71" s="21" t="s">
        <v>49</v>
      </c>
      <c r="G71" s="21" t="s">
        <v>374</v>
      </c>
      <c r="H71" s="25">
        <v>3049</v>
      </c>
      <c r="I71" s="21">
        <f>IF(TbRegistrosSaida[[#This Row],[Data do Caixa Realizado]]="",0,MONTH(TbRegistrosSaida[[#This Row],[Data do Caixa Realizado]]))</f>
        <v>2</v>
      </c>
      <c r="J71" s="21">
        <f>IF(TbRegistrosSaida[[#This Row],[Data do Caixa Realizado]]="",0,YEAR(TbRegistrosSaida[[#This Row],[Data do Caixa Realizado]]))</f>
        <v>2018</v>
      </c>
      <c r="K71" s="21">
        <f>IF(TbRegistrosSaida[[#This Row],[Data da Competência]]="",0,MONTH(TbRegistrosSaida[[#This Row],[Data da Competência]]))</f>
        <v>1</v>
      </c>
      <c r="L71" s="21">
        <f>IF(TbRegistrosSaida[[#This Row],[Data da Competência]]="",0,YEAR(TbRegistrosSaida[[#This Row],[Data da Competência]]))</f>
        <v>2018</v>
      </c>
      <c r="M71" s="57">
        <f>IF(TbRegistrosSaida[[#This Row],[Data do Caixa Previsto]]="",0,MONTH(TbRegistrosSaida[[#This Row],[Data do Caixa Previsto]]))</f>
        <v>2</v>
      </c>
      <c r="N71" s="58">
        <f>IF(TbRegistrosSaida[[#This Row],[Data do Caixa Previsto]]="",0,YEAR(TbRegistrosSaida[[#This Row],[Data do Caixa Previsto]]))</f>
        <v>2018</v>
      </c>
      <c r="O7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2" spans="2:15" hidden="1" x14ac:dyDescent="0.25">
      <c r="B72" s="20">
        <v>43188.99516604135</v>
      </c>
      <c r="C72" s="20">
        <v>43135</v>
      </c>
      <c r="D72" s="20">
        <v>43170.130869357701</v>
      </c>
      <c r="E72" s="21" t="s">
        <v>16</v>
      </c>
      <c r="F72" s="21" t="s">
        <v>17</v>
      </c>
      <c r="G72" s="21" t="s">
        <v>375</v>
      </c>
      <c r="H72" s="25">
        <v>3255</v>
      </c>
      <c r="I72" s="21">
        <f>IF(TbRegistrosSaida[[#This Row],[Data do Caixa Realizado]]="",0,MONTH(TbRegistrosSaida[[#This Row],[Data do Caixa Realizado]]))</f>
        <v>3</v>
      </c>
      <c r="J72" s="21">
        <f>IF(TbRegistrosSaida[[#This Row],[Data do Caixa Realizado]]="",0,YEAR(TbRegistrosSaida[[#This Row],[Data do Caixa Realizado]]))</f>
        <v>2018</v>
      </c>
      <c r="K72" s="21">
        <f>IF(TbRegistrosSaida[[#This Row],[Data da Competência]]="",0,MONTH(TbRegistrosSaida[[#This Row],[Data da Competência]]))</f>
        <v>2</v>
      </c>
      <c r="L72" s="21">
        <f>IF(TbRegistrosSaida[[#This Row],[Data da Competência]]="",0,YEAR(TbRegistrosSaida[[#This Row],[Data da Competência]]))</f>
        <v>2018</v>
      </c>
      <c r="M72" s="57">
        <f>IF(TbRegistrosSaida[[#This Row],[Data do Caixa Previsto]]="",0,MONTH(TbRegistrosSaida[[#This Row],[Data do Caixa Previsto]]))</f>
        <v>3</v>
      </c>
      <c r="N72" s="58">
        <f>IF(TbRegistrosSaida[[#This Row],[Data do Caixa Previsto]]="",0,YEAR(TbRegistrosSaida[[#This Row],[Data do Caixa Previsto]]))</f>
        <v>2018</v>
      </c>
      <c r="O7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18.864296683648718</v>
      </c>
    </row>
    <row r="73" spans="2:15" hidden="1" x14ac:dyDescent="0.25">
      <c r="B73" s="20">
        <v>43179.613666487414</v>
      </c>
      <c r="C73" s="20">
        <v>43136</v>
      </c>
      <c r="D73" s="20">
        <v>43176.20769813798</v>
      </c>
      <c r="E73" s="21" t="s">
        <v>16</v>
      </c>
      <c r="F73" s="21" t="s">
        <v>77</v>
      </c>
      <c r="G73" s="21" t="s">
        <v>376</v>
      </c>
      <c r="H73" s="25">
        <v>2074</v>
      </c>
      <c r="I73" s="21">
        <f>IF(TbRegistrosSaida[[#This Row],[Data do Caixa Realizado]]="",0,MONTH(TbRegistrosSaida[[#This Row],[Data do Caixa Realizado]]))</f>
        <v>3</v>
      </c>
      <c r="J73" s="21">
        <f>IF(TbRegistrosSaida[[#This Row],[Data do Caixa Realizado]]="",0,YEAR(TbRegistrosSaida[[#This Row],[Data do Caixa Realizado]]))</f>
        <v>2018</v>
      </c>
      <c r="K73" s="21">
        <f>IF(TbRegistrosSaida[[#This Row],[Data da Competência]]="",0,MONTH(TbRegistrosSaida[[#This Row],[Data da Competência]]))</f>
        <v>2</v>
      </c>
      <c r="L73" s="21">
        <f>IF(TbRegistrosSaida[[#This Row],[Data da Competência]]="",0,YEAR(TbRegistrosSaida[[#This Row],[Data da Competência]]))</f>
        <v>2018</v>
      </c>
      <c r="M73" s="57">
        <f>IF(TbRegistrosSaida[[#This Row],[Data do Caixa Previsto]]="",0,MONTH(TbRegistrosSaida[[#This Row],[Data do Caixa Previsto]]))</f>
        <v>3</v>
      </c>
      <c r="N73" s="58">
        <f>IF(TbRegistrosSaida[[#This Row],[Data do Caixa Previsto]]="",0,YEAR(TbRegistrosSaida[[#This Row],[Data do Caixa Previsto]]))</f>
        <v>2018</v>
      </c>
      <c r="O7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3.4059683494342607</v>
      </c>
    </row>
    <row r="74" spans="2:15" hidden="1" x14ac:dyDescent="0.25">
      <c r="B74" s="20">
        <v>43175.293624405407</v>
      </c>
      <c r="C74" s="20">
        <v>43137</v>
      </c>
      <c r="D74" s="20">
        <v>43175.293624405407</v>
      </c>
      <c r="E74" s="21" t="s">
        <v>16</v>
      </c>
      <c r="F74" s="21" t="s">
        <v>77</v>
      </c>
      <c r="G74" s="21" t="s">
        <v>377</v>
      </c>
      <c r="H74" s="25">
        <v>3606</v>
      </c>
      <c r="I74" s="21">
        <f>IF(TbRegistrosSaida[[#This Row],[Data do Caixa Realizado]]="",0,MONTH(TbRegistrosSaida[[#This Row],[Data do Caixa Realizado]]))</f>
        <v>3</v>
      </c>
      <c r="J74" s="21">
        <f>IF(TbRegistrosSaida[[#This Row],[Data do Caixa Realizado]]="",0,YEAR(TbRegistrosSaida[[#This Row],[Data do Caixa Realizado]]))</f>
        <v>2018</v>
      </c>
      <c r="K74" s="21">
        <f>IF(TbRegistrosSaida[[#This Row],[Data da Competência]]="",0,MONTH(TbRegistrosSaida[[#This Row],[Data da Competência]]))</f>
        <v>2</v>
      </c>
      <c r="L74" s="21">
        <f>IF(TbRegistrosSaida[[#This Row],[Data da Competência]]="",0,YEAR(TbRegistrosSaida[[#This Row],[Data da Competência]]))</f>
        <v>2018</v>
      </c>
      <c r="M74" s="57">
        <f>IF(TbRegistrosSaida[[#This Row],[Data do Caixa Previsto]]="",0,MONTH(TbRegistrosSaida[[#This Row],[Data do Caixa Previsto]]))</f>
        <v>3</v>
      </c>
      <c r="N74" s="58">
        <f>IF(TbRegistrosSaida[[#This Row],[Data do Caixa Previsto]]="",0,YEAR(TbRegistrosSaida[[#This Row],[Data do Caixa Previsto]]))</f>
        <v>2018</v>
      </c>
      <c r="O7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5" spans="2:15" hidden="1" x14ac:dyDescent="0.25">
      <c r="B75" s="20">
        <v>43177.329774401594</v>
      </c>
      <c r="C75" s="20">
        <v>43138</v>
      </c>
      <c r="D75" s="20">
        <v>43177.329774401594</v>
      </c>
      <c r="E75" s="21" t="s">
        <v>16</v>
      </c>
      <c r="F75" s="21" t="s">
        <v>3</v>
      </c>
      <c r="G75" s="21" t="s">
        <v>378</v>
      </c>
      <c r="H75" s="25">
        <v>4867</v>
      </c>
      <c r="I75" s="21">
        <f>IF(TbRegistrosSaida[[#This Row],[Data do Caixa Realizado]]="",0,MONTH(TbRegistrosSaida[[#This Row],[Data do Caixa Realizado]]))</f>
        <v>3</v>
      </c>
      <c r="J75" s="21">
        <f>IF(TbRegistrosSaida[[#This Row],[Data do Caixa Realizado]]="",0,YEAR(TbRegistrosSaida[[#This Row],[Data do Caixa Realizado]]))</f>
        <v>2018</v>
      </c>
      <c r="K75" s="21">
        <f>IF(TbRegistrosSaida[[#This Row],[Data da Competência]]="",0,MONTH(TbRegistrosSaida[[#This Row],[Data da Competência]]))</f>
        <v>2</v>
      </c>
      <c r="L75" s="21">
        <f>IF(TbRegistrosSaida[[#This Row],[Data da Competência]]="",0,YEAR(TbRegistrosSaida[[#This Row],[Data da Competência]]))</f>
        <v>2018</v>
      </c>
      <c r="M75" s="57">
        <f>IF(TbRegistrosSaida[[#This Row],[Data do Caixa Previsto]]="",0,MONTH(TbRegistrosSaida[[#This Row],[Data do Caixa Previsto]]))</f>
        <v>3</v>
      </c>
      <c r="N75" s="58">
        <f>IF(TbRegistrosSaida[[#This Row],[Data do Caixa Previsto]]="",0,YEAR(TbRegistrosSaida[[#This Row],[Data do Caixa Previsto]]))</f>
        <v>2018</v>
      </c>
      <c r="O7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6" spans="2:15" hidden="1" x14ac:dyDescent="0.25">
      <c r="B76" s="20">
        <v>43175.004800342591</v>
      </c>
      <c r="C76" s="20">
        <v>43140</v>
      </c>
      <c r="D76" s="20">
        <v>43175.004800342591</v>
      </c>
      <c r="E76" s="21" t="s">
        <v>16</v>
      </c>
      <c r="F76" s="21" t="s">
        <v>5</v>
      </c>
      <c r="G76" s="21" t="s">
        <v>379</v>
      </c>
      <c r="H76" s="25">
        <v>702</v>
      </c>
      <c r="I76" s="21">
        <f>IF(TbRegistrosSaida[[#This Row],[Data do Caixa Realizado]]="",0,MONTH(TbRegistrosSaida[[#This Row],[Data do Caixa Realizado]]))</f>
        <v>3</v>
      </c>
      <c r="J76" s="21">
        <f>IF(TbRegistrosSaida[[#This Row],[Data do Caixa Realizado]]="",0,YEAR(TbRegistrosSaida[[#This Row],[Data do Caixa Realizado]]))</f>
        <v>2018</v>
      </c>
      <c r="K76" s="21">
        <f>IF(TbRegistrosSaida[[#This Row],[Data da Competência]]="",0,MONTH(TbRegistrosSaida[[#This Row],[Data da Competência]]))</f>
        <v>2</v>
      </c>
      <c r="L76" s="21">
        <f>IF(TbRegistrosSaida[[#This Row],[Data da Competência]]="",0,YEAR(TbRegistrosSaida[[#This Row],[Data da Competência]]))</f>
        <v>2018</v>
      </c>
      <c r="M76" s="57">
        <f>IF(TbRegistrosSaida[[#This Row],[Data do Caixa Previsto]]="",0,MONTH(TbRegistrosSaida[[#This Row],[Data do Caixa Previsto]]))</f>
        <v>3</v>
      </c>
      <c r="N76" s="58">
        <f>IF(TbRegistrosSaida[[#This Row],[Data do Caixa Previsto]]="",0,YEAR(TbRegistrosSaida[[#This Row],[Data do Caixa Previsto]]))</f>
        <v>2018</v>
      </c>
      <c r="O7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7" spans="2:15" hidden="1" x14ac:dyDescent="0.25">
      <c r="B77" s="20">
        <v>43238.007350836197</v>
      </c>
      <c r="C77" s="20">
        <v>43145</v>
      </c>
      <c r="D77" s="20">
        <v>43150.456480487795</v>
      </c>
      <c r="E77" s="21" t="s">
        <v>16</v>
      </c>
      <c r="F77" s="21" t="s">
        <v>5</v>
      </c>
      <c r="G77" s="21" t="s">
        <v>380</v>
      </c>
      <c r="H77" s="25">
        <v>2801</v>
      </c>
      <c r="I77" s="21">
        <f>IF(TbRegistrosSaida[[#This Row],[Data do Caixa Realizado]]="",0,MONTH(TbRegistrosSaida[[#This Row],[Data do Caixa Realizado]]))</f>
        <v>5</v>
      </c>
      <c r="J77" s="21">
        <f>IF(TbRegistrosSaida[[#This Row],[Data do Caixa Realizado]]="",0,YEAR(TbRegistrosSaida[[#This Row],[Data do Caixa Realizado]]))</f>
        <v>2018</v>
      </c>
      <c r="K77" s="21">
        <f>IF(TbRegistrosSaida[[#This Row],[Data da Competência]]="",0,MONTH(TbRegistrosSaida[[#This Row],[Data da Competência]]))</f>
        <v>2</v>
      </c>
      <c r="L77" s="21">
        <f>IF(TbRegistrosSaida[[#This Row],[Data da Competência]]="",0,YEAR(TbRegistrosSaida[[#This Row],[Data da Competência]]))</f>
        <v>2018</v>
      </c>
      <c r="M77" s="57">
        <f>IF(TbRegistrosSaida[[#This Row],[Data do Caixa Previsto]]="",0,MONTH(TbRegistrosSaida[[#This Row],[Data do Caixa Previsto]]))</f>
        <v>2</v>
      </c>
      <c r="N77" s="58">
        <f>IF(TbRegistrosSaida[[#This Row],[Data do Caixa Previsto]]="",0,YEAR(TbRegistrosSaida[[#This Row],[Data do Caixa Previsto]]))</f>
        <v>2018</v>
      </c>
      <c r="O7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87.550870348401077</v>
      </c>
    </row>
    <row r="78" spans="2:15" hidden="1" x14ac:dyDescent="0.25">
      <c r="B78" s="20" t="s">
        <v>92</v>
      </c>
      <c r="C78" s="20">
        <v>43146</v>
      </c>
      <c r="D78" s="20">
        <v>43169.778347522966</v>
      </c>
      <c r="E78" s="21" t="s">
        <v>16</v>
      </c>
      <c r="F78" s="21" t="s">
        <v>77</v>
      </c>
      <c r="G78" s="21" t="s">
        <v>381</v>
      </c>
      <c r="H78" s="25">
        <v>4438</v>
      </c>
      <c r="I78" s="21">
        <f>IF(TbRegistrosSaida[[#This Row],[Data do Caixa Realizado]]="",0,MONTH(TbRegistrosSaida[[#This Row],[Data do Caixa Realizado]]))</f>
        <v>0</v>
      </c>
      <c r="J78" s="21">
        <f>IF(TbRegistrosSaida[[#This Row],[Data do Caixa Realizado]]="",0,YEAR(TbRegistrosSaida[[#This Row],[Data do Caixa Realizado]]))</f>
        <v>0</v>
      </c>
      <c r="K78" s="21">
        <f>IF(TbRegistrosSaida[[#This Row],[Data da Competência]]="",0,MONTH(TbRegistrosSaida[[#This Row],[Data da Competência]]))</f>
        <v>2</v>
      </c>
      <c r="L78" s="21">
        <f>IF(TbRegistrosSaida[[#This Row],[Data da Competência]]="",0,YEAR(TbRegistrosSaida[[#This Row],[Data da Competência]]))</f>
        <v>2018</v>
      </c>
      <c r="M78" s="57">
        <f>IF(TbRegistrosSaida[[#This Row],[Data do Caixa Previsto]]="",0,MONTH(TbRegistrosSaida[[#This Row],[Data do Caixa Previsto]]))</f>
        <v>3</v>
      </c>
      <c r="N78" s="58">
        <f>IF(TbRegistrosSaida[[#This Row],[Data do Caixa Previsto]]="",0,YEAR(TbRegistrosSaida[[#This Row],[Data do Caixa Previsto]]))</f>
        <v>2018</v>
      </c>
      <c r="O7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2224.2216524770338</v>
      </c>
    </row>
    <row r="79" spans="2:15" hidden="1" x14ac:dyDescent="0.25">
      <c r="B79" s="20">
        <v>43198.215136039675</v>
      </c>
      <c r="C79" s="20">
        <v>43151</v>
      </c>
      <c r="D79" s="20">
        <v>43198.215136039675</v>
      </c>
      <c r="E79" s="21" t="s">
        <v>16</v>
      </c>
      <c r="F79" s="21" t="s">
        <v>3</v>
      </c>
      <c r="G79" s="21" t="s">
        <v>382</v>
      </c>
      <c r="H79" s="25">
        <v>3835</v>
      </c>
      <c r="I79" s="21">
        <f>IF(TbRegistrosSaida[[#This Row],[Data do Caixa Realizado]]="",0,MONTH(TbRegistrosSaida[[#This Row],[Data do Caixa Realizado]]))</f>
        <v>4</v>
      </c>
      <c r="J79" s="21">
        <f>IF(TbRegistrosSaida[[#This Row],[Data do Caixa Realizado]]="",0,YEAR(TbRegistrosSaida[[#This Row],[Data do Caixa Realizado]]))</f>
        <v>2018</v>
      </c>
      <c r="K79" s="21">
        <f>IF(TbRegistrosSaida[[#This Row],[Data da Competência]]="",0,MONTH(TbRegistrosSaida[[#This Row],[Data da Competência]]))</f>
        <v>2</v>
      </c>
      <c r="L79" s="21">
        <f>IF(TbRegistrosSaida[[#This Row],[Data da Competência]]="",0,YEAR(TbRegistrosSaida[[#This Row],[Data da Competência]]))</f>
        <v>2018</v>
      </c>
      <c r="M79" s="57">
        <f>IF(TbRegistrosSaida[[#This Row],[Data do Caixa Previsto]]="",0,MONTH(TbRegistrosSaida[[#This Row],[Data do Caixa Previsto]]))</f>
        <v>4</v>
      </c>
      <c r="N79" s="58">
        <f>IF(TbRegistrosSaida[[#This Row],[Data do Caixa Previsto]]="",0,YEAR(TbRegistrosSaida[[#This Row],[Data do Caixa Previsto]]))</f>
        <v>2018</v>
      </c>
      <c r="O7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0" spans="2:15" hidden="1" x14ac:dyDescent="0.25">
      <c r="B80" s="20">
        <v>43199.384372741159</v>
      </c>
      <c r="C80" s="20">
        <v>43160</v>
      </c>
      <c r="D80" s="20">
        <v>43199.384372741159</v>
      </c>
      <c r="E80" s="21" t="s">
        <v>16</v>
      </c>
      <c r="F80" s="21" t="s">
        <v>77</v>
      </c>
      <c r="G80" s="21" t="s">
        <v>383</v>
      </c>
      <c r="H80" s="25">
        <v>3893</v>
      </c>
      <c r="I80" s="21">
        <f>IF(TbRegistrosSaida[[#This Row],[Data do Caixa Realizado]]="",0,MONTH(TbRegistrosSaida[[#This Row],[Data do Caixa Realizado]]))</f>
        <v>4</v>
      </c>
      <c r="J80" s="21">
        <f>IF(TbRegistrosSaida[[#This Row],[Data do Caixa Realizado]]="",0,YEAR(TbRegistrosSaida[[#This Row],[Data do Caixa Realizado]]))</f>
        <v>2018</v>
      </c>
      <c r="K80" s="21">
        <f>IF(TbRegistrosSaida[[#This Row],[Data da Competência]]="",0,MONTH(TbRegistrosSaida[[#This Row],[Data da Competência]]))</f>
        <v>3</v>
      </c>
      <c r="L80" s="21">
        <f>IF(TbRegistrosSaida[[#This Row],[Data da Competência]]="",0,YEAR(TbRegistrosSaida[[#This Row],[Data da Competência]]))</f>
        <v>2018</v>
      </c>
      <c r="M80" s="57">
        <f>IF(TbRegistrosSaida[[#This Row],[Data do Caixa Previsto]]="",0,MONTH(TbRegistrosSaida[[#This Row],[Data do Caixa Previsto]]))</f>
        <v>4</v>
      </c>
      <c r="N80" s="58">
        <f>IF(TbRegistrosSaida[[#This Row],[Data do Caixa Previsto]]="",0,YEAR(TbRegistrosSaida[[#This Row],[Data do Caixa Previsto]]))</f>
        <v>2018</v>
      </c>
      <c r="O8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1" spans="2:15" hidden="1" x14ac:dyDescent="0.25">
      <c r="B81" s="20">
        <v>43184.353160705636</v>
      </c>
      <c r="C81" s="20">
        <v>43163</v>
      </c>
      <c r="D81" s="20">
        <v>43184.353160705636</v>
      </c>
      <c r="E81" s="21" t="s">
        <v>16</v>
      </c>
      <c r="F81" s="21" t="s">
        <v>77</v>
      </c>
      <c r="G81" s="21" t="s">
        <v>247</v>
      </c>
      <c r="H81" s="25">
        <v>1970</v>
      </c>
      <c r="I81" s="21">
        <f>IF(TbRegistrosSaida[[#This Row],[Data do Caixa Realizado]]="",0,MONTH(TbRegistrosSaida[[#This Row],[Data do Caixa Realizado]]))</f>
        <v>3</v>
      </c>
      <c r="J81" s="21">
        <f>IF(TbRegistrosSaida[[#This Row],[Data do Caixa Realizado]]="",0,YEAR(TbRegistrosSaida[[#This Row],[Data do Caixa Realizado]]))</f>
        <v>2018</v>
      </c>
      <c r="K81" s="21">
        <f>IF(TbRegistrosSaida[[#This Row],[Data da Competência]]="",0,MONTH(TbRegistrosSaida[[#This Row],[Data da Competência]]))</f>
        <v>3</v>
      </c>
      <c r="L81" s="21">
        <f>IF(TbRegistrosSaida[[#This Row],[Data da Competência]]="",0,YEAR(TbRegistrosSaida[[#This Row],[Data da Competência]]))</f>
        <v>2018</v>
      </c>
      <c r="M81" s="57">
        <f>IF(TbRegistrosSaida[[#This Row],[Data do Caixa Previsto]]="",0,MONTH(TbRegistrosSaida[[#This Row],[Data do Caixa Previsto]]))</f>
        <v>3</v>
      </c>
      <c r="N81" s="58">
        <f>IF(TbRegistrosSaida[[#This Row],[Data do Caixa Previsto]]="",0,YEAR(TbRegistrosSaida[[#This Row],[Data do Caixa Previsto]]))</f>
        <v>2018</v>
      </c>
      <c r="O8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2" spans="2:15" hidden="1" x14ac:dyDescent="0.25">
      <c r="B82" s="20">
        <v>43219.347145801272</v>
      </c>
      <c r="C82" s="20">
        <v>43164</v>
      </c>
      <c r="D82" s="20">
        <v>43219.347145801272</v>
      </c>
      <c r="E82" s="21" t="s">
        <v>16</v>
      </c>
      <c r="F82" s="21" t="s">
        <v>5</v>
      </c>
      <c r="G82" s="21" t="s">
        <v>384</v>
      </c>
      <c r="H82" s="25">
        <v>729</v>
      </c>
      <c r="I82" s="21">
        <f>IF(TbRegistrosSaida[[#This Row],[Data do Caixa Realizado]]="",0,MONTH(TbRegistrosSaida[[#This Row],[Data do Caixa Realizado]]))</f>
        <v>4</v>
      </c>
      <c r="J82" s="21">
        <f>IF(TbRegistrosSaida[[#This Row],[Data do Caixa Realizado]]="",0,YEAR(TbRegistrosSaida[[#This Row],[Data do Caixa Realizado]]))</f>
        <v>2018</v>
      </c>
      <c r="K82" s="21">
        <f>IF(TbRegistrosSaida[[#This Row],[Data da Competência]]="",0,MONTH(TbRegistrosSaida[[#This Row],[Data da Competência]]))</f>
        <v>3</v>
      </c>
      <c r="L82" s="21">
        <f>IF(TbRegistrosSaida[[#This Row],[Data da Competência]]="",0,YEAR(TbRegistrosSaida[[#This Row],[Data da Competência]]))</f>
        <v>2018</v>
      </c>
      <c r="M82" s="57">
        <f>IF(TbRegistrosSaida[[#This Row],[Data do Caixa Previsto]]="",0,MONTH(TbRegistrosSaida[[#This Row],[Data do Caixa Previsto]]))</f>
        <v>4</v>
      </c>
      <c r="N82" s="58">
        <f>IF(TbRegistrosSaida[[#This Row],[Data do Caixa Previsto]]="",0,YEAR(TbRegistrosSaida[[#This Row],[Data do Caixa Previsto]]))</f>
        <v>2018</v>
      </c>
      <c r="O8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3" spans="2:15" hidden="1" x14ac:dyDescent="0.25">
      <c r="B83" s="20">
        <v>43188.959993905235</v>
      </c>
      <c r="C83" s="20">
        <v>43166</v>
      </c>
      <c r="D83" s="20">
        <v>43188.959993905235</v>
      </c>
      <c r="E83" s="21" t="s">
        <v>16</v>
      </c>
      <c r="F83" s="21" t="s">
        <v>3</v>
      </c>
      <c r="G83" s="21" t="s">
        <v>385</v>
      </c>
      <c r="H83" s="25">
        <v>474</v>
      </c>
      <c r="I83" s="21">
        <f>IF(TbRegistrosSaida[[#This Row],[Data do Caixa Realizado]]="",0,MONTH(TbRegistrosSaida[[#This Row],[Data do Caixa Realizado]]))</f>
        <v>3</v>
      </c>
      <c r="J83" s="21">
        <f>IF(TbRegistrosSaida[[#This Row],[Data do Caixa Realizado]]="",0,YEAR(TbRegistrosSaida[[#This Row],[Data do Caixa Realizado]]))</f>
        <v>2018</v>
      </c>
      <c r="K83" s="21">
        <f>IF(TbRegistrosSaida[[#This Row],[Data da Competência]]="",0,MONTH(TbRegistrosSaida[[#This Row],[Data da Competência]]))</f>
        <v>3</v>
      </c>
      <c r="L83" s="21">
        <f>IF(TbRegistrosSaida[[#This Row],[Data da Competência]]="",0,YEAR(TbRegistrosSaida[[#This Row],[Data da Competência]]))</f>
        <v>2018</v>
      </c>
      <c r="M83" s="57">
        <f>IF(TbRegistrosSaida[[#This Row],[Data do Caixa Previsto]]="",0,MONTH(TbRegistrosSaida[[#This Row],[Data do Caixa Previsto]]))</f>
        <v>3</v>
      </c>
      <c r="N83" s="58">
        <f>IF(TbRegistrosSaida[[#This Row],[Data do Caixa Previsto]]="",0,YEAR(TbRegistrosSaida[[#This Row],[Data do Caixa Previsto]]))</f>
        <v>2018</v>
      </c>
      <c r="O8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4" spans="2:15" hidden="1" x14ac:dyDescent="0.25">
      <c r="B84" s="20">
        <v>43197.842717434411</v>
      </c>
      <c r="C84" s="20">
        <v>43168</v>
      </c>
      <c r="D84" s="20">
        <v>43197.842717434411</v>
      </c>
      <c r="E84" s="21" t="s">
        <v>16</v>
      </c>
      <c r="F84" s="21" t="s">
        <v>5</v>
      </c>
      <c r="G84" s="21" t="s">
        <v>386</v>
      </c>
      <c r="H84" s="25">
        <v>3164</v>
      </c>
      <c r="I84" s="21">
        <f>IF(TbRegistrosSaida[[#This Row],[Data do Caixa Realizado]]="",0,MONTH(TbRegistrosSaida[[#This Row],[Data do Caixa Realizado]]))</f>
        <v>4</v>
      </c>
      <c r="J84" s="21">
        <f>IF(TbRegistrosSaida[[#This Row],[Data do Caixa Realizado]]="",0,YEAR(TbRegistrosSaida[[#This Row],[Data do Caixa Realizado]]))</f>
        <v>2018</v>
      </c>
      <c r="K84" s="21">
        <f>IF(TbRegistrosSaida[[#This Row],[Data da Competência]]="",0,MONTH(TbRegistrosSaida[[#This Row],[Data da Competência]]))</f>
        <v>3</v>
      </c>
      <c r="L84" s="21">
        <f>IF(TbRegistrosSaida[[#This Row],[Data da Competência]]="",0,YEAR(TbRegistrosSaida[[#This Row],[Data da Competência]]))</f>
        <v>2018</v>
      </c>
      <c r="M84" s="57">
        <f>IF(TbRegistrosSaida[[#This Row],[Data do Caixa Previsto]]="",0,MONTH(TbRegistrosSaida[[#This Row],[Data do Caixa Previsto]]))</f>
        <v>4</v>
      </c>
      <c r="N84" s="58">
        <f>IF(TbRegistrosSaida[[#This Row],[Data do Caixa Previsto]]="",0,YEAR(TbRegistrosSaida[[#This Row],[Data do Caixa Previsto]]))</f>
        <v>2018</v>
      </c>
      <c r="O8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5" spans="2:15" hidden="1" x14ac:dyDescent="0.25">
      <c r="B85" s="20">
        <v>43228.717380772498</v>
      </c>
      <c r="C85" s="20">
        <v>43173</v>
      </c>
      <c r="D85" s="20">
        <v>43228.717380772498</v>
      </c>
      <c r="E85" s="21" t="s">
        <v>16</v>
      </c>
      <c r="F85" s="21" t="s">
        <v>77</v>
      </c>
      <c r="G85" s="21" t="s">
        <v>387</v>
      </c>
      <c r="H85" s="25">
        <v>3113</v>
      </c>
      <c r="I85" s="21">
        <f>IF(TbRegistrosSaida[[#This Row],[Data do Caixa Realizado]]="",0,MONTH(TbRegistrosSaida[[#This Row],[Data do Caixa Realizado]]))</f>
        <v>5</v>
      </c>
      <c r="J85" s="21">
        <f>IF(TbRegistrosSaida[[#This Row],[Data do Caixa Realizado]]="",0,YEAR(TbRegistrosSaida[[#This Row],[Data do Caixa Realizado]]))</f>
        <v>2018</v>
      </c>
      <c r="K85" s="21">
        <f>IF(TbRegistrosSaida[[#This Row],[Data da Competência]]="",0,MONTH(TbRegistrosSaida[[#This Row],[Data da Competência]]))</f>
        <v>3</v>
      </c>
      <c r="L85" s="21">
        <f>IF(TbRegistrosSaida[[#This Row],[Data da Competência]]="",0,YEAR(TbRegistrosSaida[[#This Row],[Data da Competência]]))</f>
        <v>2018</v>
      </c>
      <c r="M85" s="57">
        <f>IF(TbRegistrosSaida[[#This Row],[Data do Caixa Previsto]]="",0,MONTH(TbRegistrosSaida[[#This Row],[Data do Caixa Previsto]]))</f>
        <v>5</v>
      </c>
      <c r="N85" s="58">
        <f>IF(TbRegistrosSaida[[#This Row],[Data do Caixa Previsto]]="",0,YEAR(TbRegistrosSaida[[#This Row],[Data do Caixa Previsto]]))</f>
        <v>2018</v>
      </c>
      <c r="O8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6" spans="2:15" hidden="1" x14ac:dyDescent="0.25">
      <c r="B86" s="20">
        <v>43288.26904093464</v>
      </c>
      <c r="C86" s="20">
        <v>43176</v>
      </c>
      <c r="D86" s="20">
        <v>43201.571307437043</v>
      </c>
      <c r="E86" s="21" t="s">
        <v>16</v>
      </c>
      <c r="F86" s="21" t="s">
        <v>17</v>
      </c>
      <c r="G86" s="21" t="s">
        <v>388</v>
      </c>
      <c r="H86" s="25">
        <v>789</v>
      </c>
      <c r="I86" s="21">
        <f>IF(TbRegistrosSaida[[#This Row],[Data do Caixa Realizado]]="",0,MONTH(TbRegistrosSaida[[#This Row],[Data do Caixa Realizado]]))</f>
        <v>7</v>
      </c>
      <c r="J86" s="21">
        <f>IF(TbRegistrosSaida[[#This Row],[Data do Caixa Realizado]]="",0,YEAR(TbRegistrosSaida[[#This Row],[Data do Caixa Realizado]]))</f>
        <v>2018</v>
      </c>
      <c r="K86" s="21">
        <f>IF(TbRegistrosSaida[[#This Row],[Data da Competência]]="",0,MONTH(TbRegistrosSaida[[#This Row],[Data da Competência]]))</f>
        <v>3</v>
      </c>
      <c r="L86" s="21">
        <f>IF(TbRegistrosSaida[[#This Row],[Data da Competência]]="",0,YEAR(TbRegistrosSaida[[#This Row],[Data da Competência]]))</f>
        <v>2018</v>
      </c>
      <c r="M86" s="57">
        <f>IF(TbRegistrosSaida[[#This Row],[Data do Caixa Previsto]]="",0,MONTH(TbRegistrosSaida[[#This Row],[Data do Caixa Previsto]]))</f>
        <v>4</v>
      </c>
      <c r="N86" s="58">
        <f>IF(TbRegistrosSaida[[#This Row],[Data do Caixa Previsto]]="",0,YEAR(TbRegistrosSaida[[#This Row],[Data do Caixa Previsto]]))</f>
        <v>2018</v>
      </c>
      <c r="O8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86.697733497596346</v>
      </c>
    </row>
    <row r="87" spans="2:15" hidden="1" x14ac:dyDescent="0.25">
      <c r="B87" s="20">
        <v>43191.559855343337</v>
      </c>
      <c r="C87" s="20">
        <v>43180</v>
      </c>
      <c r="D87" s="20">
        <v>43191.559855343337</v>
      </c>
      <c r="E87" s="21" t="s">
        <v>16</v>
      </c>
      <c r="F87" s="21" t="s">
        <v>17</v>
      </c>
      <c r="G87" s="21" t="s">
        <v>389</v>
      </c>
      <c r="H87" s="25">
        <v>3521</v>
      </c>
      <c r="I87" s="21">
        <f>IF(TbRegistrosSaida[[#This Row],[Data do Caixa Realizado]]="",0,MONTH(TbRegistrosSaida[[#This Row],[Data do Caixa Realizado]]))</f>
        <v>4</v>
      </c>
      <c r="J87" s="21">
        <f>IF(TbRegistrosSaida[[#This Row],[Data do Caixa Realizado]]="",0,YEAR(TbRegistrosSaida[[#This Row],[Data do Caixa Realizado]]))</f>
        <v>2018</v>
      </c>
      <c r="K87" s="21">
        <f>IF(TbRegistrosSaida[[#This Row],[Data da Competência]]="",0,MONTH(TbRegistrosSaida[[#This Row],[Data da Competência]]))</f>
        <v>3</v>
      </c>
      <c r="L87" s="21">
        <f>IF(TbRegistrosSaida[[#This Row],[Data da Competência]]="",0,YEAR(TbRegistrosSaida[[#This Row],[Data da Competência]]))</f>
        <v>2018</v>
      </c>
      <c r="M87" s="57">
        <f>IF(TbRegistrosSaida[[#This Row],[Data do Caixa Previsto]]="",0,MONTH(TbRegistrosSaida[[#This Row],[Data do Caixa Previsto]]))</f>
        <v>4</v>
      </c>
      <c r="N87" s="58">
        <f>IF(TbRegistrosSaida[[#This Row],[Data do Caixa Previsto]]="",0,YEAR(TbRegistrosSaida[[#This Row],[Data do Caixa Previsto]]))</f>
        <v>2018</v>
      </c>
      <c r="O8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8" spans="2:15" hidden="1" x14ac:dyDescent="0.25">
      <c r="B88" s="20">
        <v>43187.734676954671</v>
      </c>
      <c r="C88" s="20">
        <v>43183</v>
      </c>
      <c r="D88" s="20">
        <v>43187.734676954671</v>
      </c>
      <c r="E88" s="21" t="s">
        <v>16</v>
      </c>
      <c r="F88" s="21" t="s">
        <v>77</v>
      </c>
      <c r="G88" s="21" t="s">
        <v>390</v>
      </c>
      <c r="H88" s="25">
        <v>4947</v>
      </c>
      <c r="I88" s="21">
        <f>IF(TbRegistrosSaida[[#This Row],[Data do Caixa Realizado]]="",0,MONTH(TbRegistrosSaida[[#This Row],[Data do Caixa Realizado]]))</f>
        <v>3</v>
      </c>
      <c r="J88" s="21">
        <f>IF(TbRegistrosSaida[[#This Row],[Data do Caixa Realizado]]="",0,YEAR(TbRegistrosSaida[[#This Row],[Data do Caixa Realizado]]))</f>
        <v>2018</v>
      </c>
      <c r="K88" s="21">
        <f>IF(TbRegistrosSaida[[#This Row],[Data da Competência]]="",0,MONTH(TbRegistrosSaida[[#This Row],[Data da Competência]]))</f>
        <v>3</v>
      </c>
      <c r="L88" s="21">
        <f>IF(TbRegistrosSaida[[#This Row],[Data da Competência]]="",0,YEAR(TbRegistrosSaida[[#This Row],[Data da Competência]]))</f>
        <v>2018</v>
      </c>
      <c r="M88" s="57">
        <f>IF(TbRegistrosSaida[[#This Row],[Data do Caixa Previsto]]="",0,MONTH(TbRegistrosSaida[[#This Row],[Data do Caixa Previsto]]))</f>
        <v>3</v>
      </c>
      <c r="N88" s="58">
        <f>IF(TbRegistrosSaida[[#This Row],[Data do Caixa Previsto]]="",0,YEAR(TbRegistrosSaida[[#This Row],[Data do Caixa Previsto]]))</f>
        <v>2018</v>
      </c>
      <c r="O8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9" spans="2:15" hidden="1" x14ac:dyDescent="0.25">
      <c r="B89" s="20">
        <v>43223.623035835837</v>
      </c>
      <c r="C89" s="20">
        <v>43184</v>
      </c>
      <c r="D89" s="20">
        <v>43223.623035835837</v>
      </c>
      <c r="E89" s="21" t="s">
        <v>16</v>
      </c>
      <c r="F89" s="21" t="s">
        <v>17</v>
      </c>
      <c r="G89" s="21" t="s">
        <v>391</v>
      </c>
      <c r="H89" s="25">
        <v>1527</v>
      </c>
      <c r="I89" s="21">
        <f>IF(TbRegistrosSaida[[#This Row],[Data do Caixa Realizado]]="",0,MONTH(TbRegistrosSaida[[#This Row],[Data do Caixa Realizado]]))</f>
        <v>5</v>
      </c>
      <c r="J89" s="21">
        <f>IF(TbRegistrosSaida[[#This Row],[Data do Caixa Realizado]]="",0,YEAR(TbRegistrosSaida[[#This Row],[Data do Caixa Realizado]]))</f>
        <v>2018</v>
      </c>
      <c r="K89" s="21">
        <f>IF(TbRegistrosSaida[[#This Row],[Data da Competência]]="",0,MONTH(TbRegistrosSaida[[#This Row],[Data da Competência]]))</f>
        <v>3</v>
      </c>
      <c r="L89" s="21">
        <f>IF(TbRegistrosSaida[[#This Row],[Data da Competência]]="",0,YEAR(TbRegistrosSaida[[#This Row],[Data da Competência]]))</f>
        <v>2018</v>
      </c>
      <c r="M89" s="57">
        <f>IF(TbRegistrosSaida[[#This Row],[Data do Caixa Previsto]]="",0,MONTH(TbRegistrosSaida[[#This Row],[Data do Caixa Previsto]]))</f>
        <v>5</v>
      </c>
      <c r="N89" s="58">
        <f>IF(TbRegistrosSaida[[#This Row],[Data do Caixa Previsto]]="",0,YEAR(TbRegistrosSaida[[#This Row],[Data do Caixa Previsto]]))</f>
        <v>2018</v>
      </c>
      <c r="O8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0" spans="2:15" hidden="1" x14ac:dyDescent="0.25">
      <c r="B90" s="20">
        <v>43234.522556233635</v>
      </c>
      <c r="C90" s="20">
        <v>43191</v>
      </c>
      <c r="D90" s="20">
        <v>43234.522556233635</v>
      </c>
      <c r="E90" s="21" t="s">
        <v>16</v>
      </c>
      <c r="F90" s="21" t="s">
        <v>17</v>
      </c>
      <c r="G90" s="21" t="s">
        <v>392</v>
      </c>
      <c r="H90" s="25">
        <v>764</v>
      </c>
      <c r="I90" s="21">
        <f>IF(TbRegistrosSaida[[#This Row],[Data do Caixa Realizado]]="",0,MONTH(TbRegistrosSaida[[#This Row],[Data do Caixa Realizado]]))</f>
        <v>5</v>
      </c>
      <c r="J90" s="21">
        <f>IF(TbRegistrosSaida[[#This Row],[Data do Caixa Realizado]]="",0,YEAR(TbRegistrosSaida[[#This Row],[Data do Caixa Realizado]]))</f>
        <v>2018</v>
      </c>
      <c r="K90" s="21">
        <f>IF(TbRegistrosSaida[[#This Row],[Data da Competência]]="",0,MONTH(TbRegistrosSaida[[#This Row],[Data da Competência]]))</f>
        <v>4</v>
      </c>
      <c r="L90" s="21">
        <f>IF(TbRegistrosSaida[[#This Row],[Data da Competência]]="",0,YEAR(TbRegistrosSaida[[#This Row],[Data da Competência]]))</f>
        <v>2018</v>
      </c>
      <c r="M90" s="57">
        <f>IF(TbRegistrosSaida[[#This Row],[Data do Caixa Previsto]]="",0,MONTH(TbRegistrosSaida[[#This Row],[Data do Caixa Previsto]]))</f>
        <v>5</v>
      </c>
      <c r="N90" s="58">
        <f>IF(TbRegistrosSaida[[#This Row],[Data do Caixa Previsto]]="",0,YEAR(TbRegistrosSaida[[#This Row],[Data do Caixa Previsto]]))</f>
        <v>2018</v>
      </c>
      <c r="O9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1" spans="2:15" hidden="1" x14ac:dyDescent="0.25">
      <c r="B91" s="20">
        <v>43202.116934975762</v>
      </c>
      <c r="C91" s="20">
        <v>43193</v>
      </c>
      <c r="D91" s="20">
        <v>43202.116934975762</v>
      </c>
      <c r="E91" s="21" t="s">
        <v>16</v>
      </c>
      <c r="F91" s="21" t="s">
        <v>3</v>
      </c>
      <c r="G91" s="21" t="s">
        <v>393</v>
      </c>
      <c r="H91" s="25">
        <v>2463</v>
      </c>
      <c r="I91" s="21">
        <f>IF(TbRegistrosSaida[[#This Row],[Data do Caixa Realizado]]="",0,MONTH(TbRegistrosSaida[[#This Row],[Data do Caixa Realizado]]))</f>
        <v>4</v>
      </c>
      <c r="J91" s="21">
        <f>IF(TbRegistrosSaida[[#This Row],[Data do Caixa Realizado]]="",0,YEAR(TbRegistrosSaida[[#This Row],[Data do Caixa Realizado]]))</f>
        <v>2018</v>
      </c>
      <c r="K91" s="21">
        <f>IF(TbRegistrosSaida[[#This Row],[Data da Competência]]="",0,MONTH(TbRegistrosSaida[[#This Row],[Data da Competência]]))</f>
        <v>4</v>
      </c>
      <c r="L91" s="21">
        <f>IF(TbRegistrosSaida[[#This Row],[Data da Competência]]="",0,YEAR(TbRegistrosSaida[[#This Row],[Data da Competência]]))</f>
        <v>2018</v>
      </c>
      <c r="M91" s="57">
        <f>IF(TbRegistrosSaida[[#This Row],[Data do Caixa Previsto]]="",0,MONTH(TbRegistrosSaida[[#This Row],[Data do Caixa Previsto]]))</f>
        <v>4</v>
      </c>
      <c r="N91" s="58">
        <f>IF(TbRegistrosSaida[[#This Row],[Data do Caixa Previsto]]="",0,YEAR(TbRegistrosSaida[[#This Row],[Data do Caixa Previsto]]))</f>
        <v>2018</v>
      </c>
      <c r="O9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2" spans="2:15" hidden="1" x14ac:dyDescent="0.25">
      <c r="B92" s="20">
        <v>43220.080853168562</v>
      </c>
      <c r="C92" s="20">
        <v>43195</v>
      </c>
      <c r="D92" s="20">
        <v>43215.697364070438</v>
      </c>
      <c r="E92" s="21" t="s">
        <v>16</v>
      </c>
      <c r="F92" s="21" t="s">
        <v>5</v>
      </c>
      <c r="G92" s="21" t="s">
        <v>394</v>
      </c>
      <c r="H92" s="25">
        <v>2111</v>
      </c>
      <c r="I92" s="21">
        <f>IF(TbRegistrosSaida[[#This Row],[Data do Caixa Realizado]]="",0,MONTH(TbRegistrosSaida[[#This Row],[Data do Caixa Realizado]]))</f>
        <v>4</v>
      </c>
      <c r="J92" s="21">
        <f>IF(TbRegistrosSaida[[#This Row],[Data do Caixa Realizado]]="",0,YEAR(TbRegistrosSaida[[#This Row],[Data do Caixa Realizado]]))</f>
        <v>2018</v>
      </c>
      <c r="K92" s="21">
        <f>IF(TbRegistrosSaida[[#This Row],[Data da Competência]]="",0,MONTH(TbRegistrosSaida[[#This Row],[Data da Competência]]))</f>
        <v>4</v>
      </c>
      <c r="L92" s="21">
        <f>IF(TbRegistrosSaida[[#This Row],[Data da Competência]]="",0,YEAR(TbRegistrosSaida[[#This Row],[Data da Competência]]))</f>
        <v>2018</v>
      </c>
      <c r="M92" s="57">
        <f>IF(TbRegistrosSaida[[#This Row],[Data do Caixa Previsto]]="",0,MONTH(TbRegistrosSaida[[#This Row],[Data do Caixa Previsto]]))</f>
        <v>4</v>
      </c>
      <c r="N92" s="58">
        <f>IF(TbRegistrosSaida[[#This Row],[Data do Caixa Previsto]]="",0,YEAR(TbRegistrosSaida[[#This Row],[Data do Caixa Previsto]]))</f>
        <v>2018</v>
      </c>
      <c r="O9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4.3834890981233912</v>
      </c>
    </row>
    <row r="93" spans="2:15" hidden="1" x14ac:dyDescent="0.25">
      <c r="B93" s="20">
        <v>43221.571171062293</v>
      </c>
      <c r="C93" s="20">
        <v>43196</v>
      </c>
      <c r="D93" s="20">
        <v>43221.571171062293</v>
      </c>
      <c r="E93" s="21" t="s">
        <v>16</v>
      </c>
      <c r="F93" s="21" t="s">
        <v>77</v>
      </c>
      <c r="G93" s="21" t="s">
        <v>395</v>
      </c>
      <c r="H93" s="25">
        <v>1144</v>
      </c>
      <c r="I93" s="21">
        <f>IF(TbRegistrosSaida[[#This Row],[Data do Caixa Realizado]]="",0,MONTH(TbRegistrosSaida[[#This Row],[Data do Caixa Realizado]]))</f>
        <v>5</v>
      </c>
      <c r="J93" s="21">
        <f>IF(TbRegistrosSaida[[#This Row],[Data do Caixa Realizado]]="",0,YEAR(TbRegistrosSaida[[#This Row],[Data do Caixa Realizado]]))</f>
        <v>2018</v>
      </c>
      <c r="K93" s="21">
        <f>IF(TbRegistrosSaida[[#This Row],[Data da Competência]]="",0,MONTH(TbRegistrosSaida[[#This Row],[Data da Competência]]))</f>
        <v>4</v>
      </c>
      <c r="L93" s="21">
        <f>IF(TbRegistrosSaida[[#This Row],[Data da Competência]]="",0,YEAR(TbRegistrosSaida[[#This Row],[Data da Competência]]))</f>
        <v>2018</v>
      </c>
      <c r="M93" s="57">
        <f>IF(TbRegistrosSaida[[#This Row],[Data do Caixa Previsto]]="",0,MONTH(TbRegistrosSaida[[#This Row],[Data do Caixa Previsto]]))</f>
        <v>5</v>
      </c>
      <c r="N93" s="58">
        <f>IF(TbRegistrosSaida[[#This Row],[Data do Caixa Previsto]]="",0,YEAR(TbRegistrosSaida[[#This Row],[Data do Caixa Previsto]]))</f>
        <v>2018</v>
      </c>
      <c r="O9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4" spans="2:15" hidden="1" x14ac:dyDescent="0.25">
      <c r="B94" s="20">
        <v>43240.686796046153</v>
      </c>
      <c r="C94" s="20">
        <v>43200</v>
      </c>
      <c r="D94" s="20">
        <v>43240.686796046153</v>
      </c>
      <c r="E94" s="21" t="s">
        <v>16</v>
      </c>
      <c r="F94" s="21" t="s">
        <v>5</v>
      </c>
      <c r="G94" s="21" t="s">
        <v>396</v>
      </c>
      <c r="H94" s="25">
        <v>597</v>
      </c>
      <c r="I94" s="21">
        <f>IF(TbRegistrosSaida[[#This Row],[Data do Caixa Realizado]]="",0,MONTH(TbRegistrosSaida[[#This Row],[Data do Caixa Realizado]]))</f>
        <v>5</v>
      </c>
      <c r="J94" s="21">
        <f>IF(TbRegistrosSaida[[#This Row],[Data do Caixa Realizado]]="",0,YEAR(TbRegistrosSaida[[#This Row],[Data do Caixa Realizado]]))</f>
        <v>2018</v>
      </c>
      <c r="K94" s="21">
        <f>IF(TbRegistrosSaida[[#This Row],[Data da Competência]]="",0,MONTH(TbRegistrosSaida[[#This Row],[Data da Competência]]))</f>
        <v>4</v>
      </c>
      <c r="L94" s="21">
        <f>IF(TbRegistrosSaida[[#This Row],[Data da Competência]]="",0,YEAR(TbRegistrosSaida[[#This Row],[Data da Competência]]))</f>
        <v>2018</v>
      </c>
      <c r="M94" s="57">
        <f>IF(TbRegistrosSaida[[#This Row],[Data do Caixa Previsto]]="",0,MONTH(TbRegistrosSaida[[#This Row],[Data do Caixa Previsto]]))</f>
        <v>5</v>
      </c>
      <c r="N94" s="58">
        <f>IF(TbRegistrosSaida[[#This Row],[Data do Caixa Previsto]]="",0,YEAR(TbRegistrosSaida[[#This Row],[Data do Caixa Previsto]]))</f>
        <v>2018</v>
      </c>
      <c r="O9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5" spans="2:15" hidden="1" x14ac:dyDescent="0.25">
      <c r="B95" s="20">
        <v>43290.30848134488</v>
      </c>
      <c r="C95" s="20">
        <v>43206</v>
      </c>
      <c r="D95" s="20">
        <v>43209.120587233294</v>
      </c>
      <c r="E95" s="21" t="s">
        <v>16</v>
      </c>
      <c r="F95" s="21" t="s">
        <v>77</v>
      </c>
      <c r="G95" s="21" t="s">
        <v>397</v>
      </c>
      <c r="H95" s="25">
        <v>3445</v>
      </c>
      <c r="I95" s="21">
        <f>IF(TbRegistrosSaida[[#This Row],[Data do Caixa Realizado]]="",0,MONTH(TbRegistrosSaida[[#This Row],[Data do Caixa Realizado]]))</f>
        <v>7</v>
      </c>
      <c r="J95" s="21">
        <f>IF(TbRegistrosSaida[[#This Row],[Data do Caixa Realizado]]="",0,YEAR(TbRegistrosSaida[[#This Row],[Data do Caixa Realizado]]))</f>
        <v>2018</v>
      </c>
      <c r="K95" s="21">
        <f>IF(TbRegistrosSaida[[#This Row],[Data da Competência]]="",0,MONTH(TbRegistrosSaida[[#This Row],[Data da Competência]]))</f>
        <v>4</v>
      </c>
      <c r="L95" s="21">
        <f>IF(TbRegistrosSaida[[#This Row],[Data da Competência]]="",0,YEAR(TbRegistrosSaida[[#This Row],[Data da Competência]]))</f>
        <v>2018</v>
      </c>
      <c r="M95" s="57">
        <f>IF(TbRegistrosSaida[[#This Row],[Data do Caixa Previsto]]="",0,MONTH(TbRegistrosSaida[[#This Row],[Data do Caixa Previsto]]))</f>
        <v>4</v>
      </c>
      <c r="N95" s="58">
        <f>IF(TbRegistrosSaida[[#This Row],[Data do Caixa Previsto]]="",0,YEAR(TbRegistrosSaida[[#This Row],[Data do Caixa Previsto]]))</f>
        <v>2018</v>
      </c>
      <c r="O9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81.187894111586502</v>
      </c>
    </row>
    <row r="96" spans="2:15" hidden="1" x14ac:dyDescent="0.25">
      <c r="B96" s="20">
        <v>43222.305289041076</v>
      </c>
      <c r="C96" s="20">
        <v>43212</v>
      </c>
      <c r="D96" s="20">
        <v>43222.305289041076</v>
      </c>
      <c r="E96" s="21" t="s">
        <v>16</v>
      </c>
      <c r="F96" s="21" t="s">
        <v>17</v>
      </c>
      <c r="G96" s="21" t="s">
        <v>398</v>
      </c>
      <c r="H96" s="25">
        <v>1996</v>
      </c>
      <c r="I96" s="21">
        <f>IF(TbRegistrosSaida[[#This Row],[Data do Caixa Realizado]]="",0,MONTH(TbRegistrosSaida[[#This Row],[Data do Caixa Realizado]]))</f>
        <v>5</v>
      </c>
      <c r="J96" s="21">
        <f>IF(TbRegistrosSaida[[#This Row],[Data do Caixa Realizado]]="",0,YEAR(TbRegistrosSaida[[#This Row],[Data do Caixa Realizado]]))</f>
        <v>2018</v>
      </c>
      <c r="K96" s="21">
        <f>IF(TbRegistrosSaida[[#This Row],[Data da Competência]]="",0,MONTH(TbRegistrosSaida[[#This Row],[Data da Competência]]))</f>
        <v>4</v>
      </c>
      <c r="L96" s="21">
        <f>IF(TbRegistrosSaida[[#This Row],[Data da Competência]]="",0,YEAR(TbRegistrosSaida[[#This Row],[Data da Competência]]))</f>
        <v>2018</v>
      </c>
      <c r="M96" s="57">
        <f>IF(TbRegistrosSaida[[#This Row],[Data do Caixa Previsto]]="",0,MONTH(TbRegistrosSaida[[#This Row],[Data do Caixa Previsto]]))</f>
        <v>5</v>
      </c>
      <c r="N96" s="58">
        <f>IF(TbRegistrosSaida[[#This Row],[Data do Caixa Previsto]]="",0,YEAR(TbRegistrosSaida[[#This Row],[Data do Caixa Previsto]]))</f>
        <v>2018</v>
      </c>
      <c r="O9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7" spans="2:15" hidden="1" x14ac:dyDescent="0.25">
      <c r="B97" s="20">
        <v>43232.768700738379</v>
      </c>
      <c r="C97" s="20">
        <v>43218</v>
      </c>
      <c r="D97" s="20">
        <v>43232.768700738379</v>
      </c>
      <c r="E97" s="21" t="s">
        <v>16</v>
      </c>
      <c r="F97" s="21" t="s">
        <v>5</v>
      </c>
      <c r="G97" s="21" t="s">
        <v>399</v>
      </c>
      <c r="H97" s="25">
        <v>1254</v>
      </c>
      <c r="I97" s="21">
        <f>IF(TbRegistrosSaida[[#This Row],[Data do Caixa Realizado]]="",0,MONTH(TbRegistrosSaida[[#This Row],[Data do Caixa Realizado]]))</f>
        <v>5</v>
      </c>
      <c r="J97" s="21">
        <f>IF(TbRegistrosSaida[[#This Row],[Data do Caixa Realizado]]="",0,YEAR(TbRegistrosSaida[[#This Row],[Data do Caixa Realizado]]))</f>
        <v>2018</v>
      </c>
      <c r="K97" s="21">
        <f>IF(TbRegistrosSaida[[#This Row],[Data da Competência]]="",0,MONTH(TbRegistrosSaida[[#This Row],[Data da Competência]]))</f>
        <v>4</v>
      </c>
      <c r="L97" s="21">
        <f>IF(TbRegistrosSaida[[#This Row],[Data da Competência]]="",0,YEAR(TbRegistrosSaida[[#This Row],[Data da Competência]]))</f>
        <v>2018</v>
      </c>
      <c r="M97" s="57">
        <f>IF(TbRegistrosSaida[[#This Row],[Data do Caixa Previsto]]="",0,MONTH(TbRegistrosSaida[[#This Row],[Data do Caixa Previsto]]))</f>
        <v>5</v>
      </c>
      <c r="N97" s="58">
        <f>IF(TbRegistrosSaida[[#This Row],[Data do Caixa Previsto]]="",0,YEAR(TbRegistrosSaida[[#This Row],[Data do Caixa Previsto]]))</f>
        <v>2018</v>
      </c>
      <c r="O9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8" spans="2:15" hidden="1" x14ac:dyDescent="0.25">
      <c r="B98" s="20">
        <v>43241.145893950612</v>
      </c>
      <c r="C98" s="20">
        <v>43219</v>
      </c>
      <c r="D98" s="20">
        <v>43223.806256091018</v>
      </c>
      <c r="E98" s="21" t="s">
        <v>16</v>
      </c>
      <c r="F98" s="21" t="s">
        <v>5</v>
      </c>
      <c r="G98" s="21" t="s">
        <v>400</v>
      </c>
      <c r="H98" s="25">
        <v>905</v>
      </c>
      <c r="I98" s="21">
        <f>IF(TbRegistrosSaida[[#This Row],[Data do Caixa Realizado]]="",0,MONTH(TbRegistrosSaida[[#This Row],[Data do Caixa Realizado]]))</f>
        <v>5</v>
      </c>
      <c r="J98" s="21">
        <f>IF(TbRegistrosSaida[[#This Row],[Data do Caixa Realizado]]="",0,YEAR(TbRegistrosSaida[[#This Row],[Data do Caixa Realizado]]))</f>
        <v>2018</v>
      </c>
      <c r="K98" s="21">
        <f>IF(TbRegistrosSaida[[#This Row],[Data da Competência]]="",0,MONTH(TbRegistrosSaida[[#This Row],[Data da Competência]]))</f>
        <v>4</v>
      </c>
      <c r="L98" s="21">
        <f>IF(TbRegistrosSaida[[#This Row],[Data da Competência]]="",0,YEAR(TbRegistrosSaida[[#This Row],[Data da Competência]]))</f>
        <v>2018</v>
      </c>
      <c r="M98" s="57">
        <f>IF(TbRegistrosSaida[[#This Row],[Data do Caixa Previsto]]="",0,MONTH(TbRegistrosSaida[[#This Row],[Data do Caixa Previsto]]))</f>
        <v>5</v>
      </c>
      <c r="N98" s="58">
        <f>IF(TbRegistrosSaida[[#This Row],[Data do Caixa Previsto]]="",0,YEAR(TbRegistrosSaida[[#This Row],[Data do Caixa Previsto]]))</f>
        <v>2018</v>
      </c>
      <c r="O9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17.339637859593495</v>
      </c>
    </row>
    <row r="99" spans="2:15" hidden="1" x14ac:dyDescent="0.25">
      <c r="B99" s="20">
        <v>43251.616600040084</v>
      </c>
      <c r="C99" s="20">
        <v>43222</v>
      </c>
      <c r="D99" s="20">
        <v>43251.616600040084</v>
      </c>
      <c r="E99" s="21" t="s">
        <v>16</v>
      </c>
      <c r="F99" s="21" t="s">
        <v>3</v>
      </c>
      <c r="G99" s="21" t="s">
        <v>401</v>
      </c>
      <c r="H99" s="25">
        <v>2975</v>
      </c>
      <c r="I99" s="21">
        <f>IF(TbRegistrosSaida[[#This Row],[Data do Caixa Realizado]]="",0,MONTH(TbRegistrosSaida[[#This Row],[Data do Caixa Realizado]]))</f>
        <v>5</v>
      </c>
      <c r="J99" s="21">
        <f>IF(TbRegistrosSaida[[#This Row],[Data do Caixa Realizado]]="",0,YEAR(TbRegistrosSaida[[#This Row],[Data do Caixa Realizado]]))</f>
        <v>2018</v>
      </c>
      <c r="K99" s="21">
        <f>IF(TbRegistrosSaida[[#This Row],[Data da Competência]]="",0,MONTH(TbRegistrosSaida[[#This Row],[Data da Competência]]))</f>
        <v>5</v>
      </c>
      <c r="L99" s="21">
        <f>IF(TbRegistrosSaida[[#This Row],[Data da Competência]]="",0,YEAR(TbRegistrosSaida[[#This Row],[Data da Competência]]))</f>
        <v>2018</v>
      </c>
      <c r="M99" s="57">
        <f>IF(TbRegistrosSaida[[#This Row],[Data do Caixa Previsto]]="",0,MONTH(TbRegistrosSaida[[#This Row],[Data do Caixa Previsto]]))</f>
        <v>5</v>
      </c>
      <c r="N99" s="58">
        <f>IF(TbRegistrosSaida[[#This Row],[Data do Caixa Previsto]]="",0,YEAR(TbRegistrosSaida[[#This Row],[Data do Caixa Previsto]]))</f>
        <v>2018</v>
      </c>
      <c r="O9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0" spans="2:15" hidden="1" x14ac:dyDescent="0.25">
      <c r="B100" s="20">
        <v>43228.679133753983</v>
      </c>
      <c r="C100" s="20">
        <v>43223</v>
      </c>
      <c r="D100" s="20">
        <v>43228.679133753983</v>
      </c>
      <c r="E100" s="21" t="s">
        <v>16</v>
      </c>
      <c r="F100" s="21" t="s">
        <v>77</v>
      </c>
      <c r="G100" s="21" t="s">
        <v>402</v>
      </c>
      <c r="H100" s="25">
        <v>4807</v>
      </c>
      <c r="I100" s="21">
        <f>IF(TbRegistrosSaida[[#This Row],[Data do Caixa Realizado]]="",0,MONTH(TbRegistrosSaida[[#This Row],[Data do Caixa Realizado]]))</f>
        <v>5</v>
      </c>
      <c r="J100" s="21">
        <f>IF(TbRegistrosSaida[[#This Row],[Data do Caixa Realizado]]="",0,YEAR(TbRegistrosSaida[[#This Row],[Data do Caixa Realizado]]))</f>
        <v>2018</v>
      </c>
      <c r="K100" s="21">
        <f>IF(TbRegistrosSaida[[#This Row],[Data da Competência]]="",0,MONTH(TbRegistrosSaida[[#This Row],[Data da Competência]]))</f>
        <v>5</v>
      </c>
      <c r="L100" s="21">
        <f>IF(TbRegistrosSaida[[#This Row],[Data da Competência]]="",0,YEAR(TbRegistrosSaida[[#This Row],[Data da Competência]]))</f>
        <v>2018</v>
      </c>
      <c r="M100" s="57">
        <f>IF(TbRegistrosSaida[[#This Row],[Data do Caixa Previsto]]="",0,MONTH(TbRegistrosSaida[[#This Row],[Data do Caixa Previsto]]))</f>
        <v>5</v>
      </c>
      <c r="N100" s="58">
        <f>IF(TbRegistrosSaida[[#This Row],[Data do Caixa Previsto]]="",0,YEAR(TbRegistrosSaida[[#This Row],[Data do Caixa Previsto]]))</f>
        <v>2018</v>
      </c>
      <c r="O10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1" spans="2:15" hidden="1" x14ac:dyDescent="0.25">
      <c r="B101" s="20">
        <v>43264.296949259209</v>
      </c>
      <c r="C101" s="20">
        <v>43230</v>
      </c>
      <c r="D101" s="20">
        <v>43264.296949259209</v>
      </c>
      <c r="E101" s="21" t="s">
        <v>16</v>
      </c>
      <c r="F101" s="21" t="s">
        <v>17</v>
      </c>
      <c r="G101" s="21" t="s">
        <v>403</v>
      </c>
      <c r="H101" s="25">
        <v>1882</v>
      </c>
      <c r="I101" s="21">
        <f>IF(TbRegistrosSaida[[#This Row],[Data do Caixa Realizado]]="",0,MONTH(TbRegistrosSaida[[#This Row],[Data do Caixa Realizado]]))</f>
        <v>6</v>
      </c>
      <c r="J101" s="21">
        <f>IF(TbRegistrosSaida[[#This Row],[Data do Caixa Realizado]]="",0,YEAR(TbRegistrosSaida[[#This Row],[Data do Caixa Realizado]]))</f>
        <v>2018</v>
      </c>
      <c r="K101" s="21">
        <f>IF(TbRegistrosSaida[[#This Row],[Data da Competência]]="",0,MONTH(TbRegistrosSaida[[#This Row],[Data da Competência]]))</f>
        <v>5</v>
      </c>
      <c r="L101" s="21">
        <f>IF(TbRegistrosSaida[[#This Row],[Data da Competência]]="",0,YEAR(TbRegistrosSaida[[#This Row],[Data da Competência]]))</f>
        <v>2018</v>
      </c>
      <c r="M101" s="57">
        <f>IF(TbRegistrosSaida[[#This Row],[Data do Caixa Previsto]]="",0,MONTH(TbRegistrosSaida[[#This Row],[Data do Caixa Previsto]]))</f>
        <v>6</v>
      </c>
      <c r="N101" s="58">
        <f>IF(TbRegistrosSaida[[#This Row],[Data do Caixa Previsto]]="",0,YEAR(TbRegistrosSaida[[#This Row],[Data do Caixa Previsto]]))</f>
        <v>2018</v>
      </c>
      <c r="O10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2" spans="2:15" hidden="1" x14ac:dyDescent="0.25">
      <c r="B102" s="20">
        <v>43278.791757178202</v>
      </c>
      <c r="C102" s="20">
        <v>43235</v>
      </c>
      <c r="D102" s="20">
        <v>43278.791757178202</v>
      </c>
      <c r="E102" s="21" t="s">
        <v>16</v>
      </c>
      <c r="F102" s="21" t="s">
        <v>49</v>
      </c>
      <c r="G102" s="21" t="s">
        <v>404</v>
      </c>
      <c r="H102" s="25">
        <v>3932</v>
      </c>
      <c r="I102" s="21">
        <f>IF(TbRegistrosSaida[[#This Row],[Data do Caixa Realizado]]="",0,MONTH(TbRegistrosSaida[[#This Row],[Data do Caixa Realizado]]))</f>
        <v>6</v>
      </c>
      <c r="J102" s="21">
        <f>IF(TbRegistrosSaida[[#This Row],[Data do Caixa Realizado]]="",0,YEAR(TbRegistrosSaida[[#This Row],[Data do Caixa Realizado]]))</f>
        <v>2018</v>
      </c>
      <c r="K102" s="21">
        <f>IF(TbRegistrosSaida[[#This Row],[Data da Competência]]="",0,MONTH(TbRegistrosSaida[[#This Row],[Data da Competência]]))</f>
        <v>5</v>
      </c>
      <c r="L102" s="21">
        <f>IF(TbRegistrosSaida[[#This Row],[Data da Competência]]="",0,YEAR(TbRegistrosSaida[[#This Row],[Data da Competência]]))</f>
        <v>2018</v>
      </c>
      <c r="M102" s="57">
        <f>IF(TbRegistrosSaida[[#This Row],[Data do Caixa Previsto]]="",0,MONTH(TbRegistrosSaida[[#This Row],[Data do Caixa Previsto]]))</f>
        <v>6</v>
      </c>
      <c r="N102" s="58">
        <f>IF(TbRegistrosSaida[[#This Row],[Data do Caixa Previsto]]="",0,YEAR(TbRegistrosSaida[[#This Row],[Data do Caixa Previsto]]))</f>
        <v>2018</v>
      </c>
      <c r="O10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3" spans="2:15" hidden="1" x14ac:dyDescent="0.25">
      <c r="B103" s="20" t="s">
        <v>92</v>
      </c>
      <c r="C103" s="20">
        <v>43238</v>
      </c>
      <c r="D103" s="20">
        <v>43253.101312636762</v>
      </c>
      <c r="E103" s="21" t="s">
        <v>16</v>
      </c>
      <c r="F103" s="21" t="s">
        <v>77</v>
      </c>
      <c r="G103" s="21" t="s">
        <v>405</v>
      </c>
      <c r="H103" s="25">
        <v>701</v>
      </c>
      <c r="I103" s="21">
        <f>IF(TbRegistrosSaida[[#This Row],[Data do Caixa Realizado]]="",0,MONTH(TbRegistrosSaida[[#This Row],[Data do Caixa Realizado]]))</f>
        <v>0</v>
      </c>
      <c r="J103" s="21">
        <f>IF(TbRegistrosSaida[[#This Row],[Data do Caixa Realizado]]="",0,YEAR(TbRegistrosSaida[[#This Row],[Data do Caixa Realizado]]))</f>
        <v>0</v>
      </c>
      <c r="K103" s="21">
        <f>IF(TbRegistrosSaida[[#This Row],[Data da Competência]]="",0,MONTH(TbRegistrosSaida[[#This Row],[Data da Competência]]))</f>
        <v>5</v>
      </c>
      <c r="L103" s="21">
        <f>IF(TbRegistrosSaida[[#This Row],[Data da Competência]]="",0,YEAR(TbRegistrosSaida[[#This Row],[Data da Competência]]))</f>
        <v>2018</v>
      </c>
      <c r="M103" s="57">
        <f>IF(TbRegistrosSaida[[#This Row],[Data do Caixa Previsto]]="",0,MONTH(TbRegistrosSaida[[#This Row],[Data do Caixa Previsto]]))</f>
        <v>6</v>
      </c>
      <c r="N103" s="58">
        <f>IF(TbRegistrosSaida[[#This Row],[Data do Caixa Previsto]]="",0,YEAR(TbRegistrosSaida[[#This Row],[Data do Caixa Previsto]]))</f>
        <v>2018</v>
      </c>
      <c r="O10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2140.8986873632384</v>
      </c>
    </row>
    <row r="104" spans="2:15" hidden="1" x14ac:dyDescent="0.25">
      <c r="B104" s="20">
        <v>43278.250305144895</v>
      </c>
      <c r="C104" s="20">
        <v>43239</v>
      </c>
      <c r="D104" s="20">
        <v>43278.250305144895</v>
      </c>
      <c r="E104" s="21" t="s">
        <v>16</v>
      </c>
      <c r="F104" s="21" t="s">
        <v>77</v>
      </c>
      <c r="G104" s="21" t="s">
        <v>406</v>
      </c>
      <c r="H104" s="25">
        <v>2651</v>
      </c>
      <c r="I104" s="21">
        <f>IF(TbRegistrosSaida[[#This Row],[Data do Caixa Realizado]]="",0,MONTH(TbRegistrosSaida[[#This Row],[Data do Caixa Realizado]]))</f>
        <v>6</v>
      </c>
      <c r="J104" s="21">
        <f>IF(TbRegistrosSaida[[#This Row],[Data do Caixa Realizado]]="",0,YEAR(TbRegistrosSaida[[#This Row],[Data do Caixa Realizado]]))</f>
        <v>2018</v>
      </c>
      <c r="K104" s="21">
        <f>IF(TbRegistrosSaida[[#This Row],[Data da Competência]]="",0,MONTH(TbRegistrosSaida[[#This Row],[Data da Competência]]))</f>
        <v>5</v>
      </c>
      <c r="L104" s="21">
        <f>IF(TbRegistrosSaida[[#This Row],[Data da Competência]]="",0,YEAR(TbRegistrosSaida[[#This Row],[Data da Competência]]))</f>
        <v>2018</v>
      </c>
      <c r="M104" s="57">
        <f>IF(TbRegistrosSaida[[#This Row],[Data do Caixa Previsto]]="",0,MONTH(TbRegistrosSaida[[#This Row],[Data do Caixa Previsto]]))</f>
        <v>6</v>
      </c>
      <c r="N104" s="58">
        <f>IF(TbRegistrosSaida[[#This Row],[Data do Caixa Previsto]]="",0,YEAR(TbRegistrosSaida[[#This Row],[Data do Caixa Previsto]]))</f>
        <v>2018</v>
      </c>
      <c r="O10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5" spans="2:15" hidden="1" x14ac:dyDescent="0.25">
      <c r="B105" s="20">
        <v>43350.331612666698</v>
      </c>
      <c r="C105" s="20">
        <v>43246</v>
      </c>
      <c r="D105" s="20">
        <v>43282.817543595353</v>
      </c>
      <c r="E105" s="21" t="s">
        <v>16</v>
      </c>
      <c r="F105" s="21" t="s">
        <v>77</v>
      </c>
      <c r="G105" s="21" t="s">
        <v>407</v>
      </c>
      <c r="H105" s="25">
        <v>3792</v>
      </c>
      <c r="I105" s="21">
        <f>IF(TbRegistrosSaida[[#This Row],[Data do Caixa Realizado]]="",0,MONTH(TbRegistrosSaida[[#This Row],[Data do Caixa Realizado]]))</f>
        <v>9</v>
      </c>
      <c r="J105" s="21">
        <f>IF(TbRegistrosSaida[[#This Row],[Data do Caixa Realizado]]="",0,YEAR(TbRegistrosSaida[[#This Row],[Data do Caixa Realizado]]))</f>
        <v>2018</v>
      </c>
      <c r="K105" s="21">
        <f>IF(TbRegistrosSaida[[#This Row],[Data da Competência]]="",0,MONTH(TbRegistrosSaida[[#This Row],[Data da Competência]]))</f>
        <v>5</v>
      </c>
      <c r="L105" s="21">
        <f>IF(TbRegistrosSaida[[#This Row],[Data da Competência]]="",0,YEAR(TbRegistrosSaida[[#This Row],[Data da Competência]]))</f>
        <v>2018</v>
      </c>
      <c r="M105" s="57">
        <f>IF(TbRegistrosSaida[[#This Row],[Data do Caixa Previsto]]="",0,MONTH(TbRegistrosSaida[[#This Row],[Data do Caixa Previsto]]))</f>
        <v>7</v>
      </c>
      <c r="N105" s="58">
        <f>IF(TbRegistrosSaida[[#This Row],[Data do Caixa Previsto]]="",0,YEAR(TbRegistrosSaida[[#This Row],[Data do Caixa Previsto]]))</f>
        <v>2018</v>
      </c>
      <c r="O10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67.514069071345148</v>
      </c>
    </row>
    <row r="106" spans="2:15" hidden="1" x14ac:dyDescent="0.25">
      <c r="B106" s="20">
        <v>43334.039973021354</v>
      </c>
      <c r="C106" s="20">
        <v>43248</v>
      </c>
      <c r="D106" s="20">
        <v>43306.553383849692</v>
      </c>
      <c r="E106" s="21" t="s">
        <v>16</v>
      </c>
      <c r="F106" s="21" t="s">
        <v>49</v>
      </c>
      <c r="G106" s="21" t="s">
        <v>408</v>
      </c>
      <c r="H106" s="25">
        <v>611</v>
      </c>
      <c r="I106" s="21">
        <f>IF(TbRegistrosSaida[[#This Row],[Data do Caixa Realizado]]="",0,MONTH(TbRegistrosSaida[[#This Row],[Data do Caixa Realizado]]))</f>
        <v>8</v>
      </c>
      <c r="J106" s="21">
        <f>IF(TbRegistrosSaida[[#This Row],[Data do Caixa Realizado]]="",0,YEAR(TbRegistrosSaida[[#This Row],[Data do Caixa Realizado]]))</f>
        <v>2018</v>
      </c>
      <c r="K106" s="21">
        <f>IF(TbRegistrosSaida[[#This Row],[Data da Competência]]="",0,MONTH(TbRegistrosSaida[[#This Row],[Data da Competência]]))</f>
        <v>5</v>
      </c>
      <c r="L106" s="21">
        <f>IF(TbRegistrosSaida[[#This Row],[Data da Competência]]="",0,YEAR(TbRegistrosSaida[[#This Row],[Data da Competência]]))</f>
        <v>2018</v>
      </c>
      <c r="M106" s="57">
        <f>IF(TbRegistrosSaida[[#This Row],[Data do Caixa Previsto]]="",0,MONTH(TbRegistrosSaida[[#This Row],[Data do Caixa Previsto]]))</f>
        <v>7</v>
      </c>
      <c r="N106" s="58">
        <f>IF(TbRegistrosSaida[[#This Row],[Data do Caixa Previsto]]="",0,YEAR(TbRegistrosSaida[[#This Row],[Data do Caixa Previsto]]))</f>
        <v>2018</v>
      </c>
      <c r="O10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27.486589171661763</v>
      </c>
    </row>
    <row r="107" spans="2:15" hidden="1" x14ac:dyDescent="0.25">
      <c r="B107" s="20">
        <v>43292.621992013512</v>
      </c>
      <c r="C107" s="20">
        <v>43251</v>
      </c>
      <c r="D107" s="20">
        <v>43292.621992013512</v>
      </c>
      <c r="E107" s="21" t="s">
        <v>16</v>
      </c>
      <c r="F107" s="21" t="s">
        <v>3</v>
      </c>
      <c r="G107" s="21" t="s">
        <v>409</v>
      </c>
      <c r="H107" s="25">
        <v>3431</v>
      </c>
      <c r="I107" s="21">
        <f>IF(TbRegistrosSaida[[#This Row],[Data do Caixa Realizado]]="",0,MONTH(TbRegistrosSaida[[#This Row],[Data do Caixa Realizado]]))</f>
        <v>7</v>
      </c>
      <c r="J107" s="21">
        <f>IF(TbRegistrosSaida[[#This Row],[Data do Caixa Realizado]]="",0,YEAR(TbRegistrosSaida[[#This Row],[Data do Caixa Realizado]]))</f>
        <v>2018</v>
      </c>
      <c r="K107" s="21">
        <f>IF(TbRegistrosSaida[[#This Row],[Data da Competência]]="",0,MONTH(TbRegistrosSaida[[#This Row],[Data da Competência]]))</f>
        <v>5</v>
      </c>
      <c r="L107" s="21">
        <f>IF(TbRegistrosSaida[[#This Row],[Data da Competência]]="",0,YEAR(TbRegistrosSaida[[#This Row],[Data da Competência]]))</f>
        <v>2018</v>
      </c>
      <c r="M107" s="57">
        <f>IF(TbRegistrosSaida[[#This Row],[Data do Caixa Previsto]]="",0,MONTH(TbRegistrosSaida[[#This Row],[Data do Caixa Previsto]]))</f>
        <v>7</v>
      </c>
      <c r="N107" s="58">
        <f>IF(TbRegistrosSaida[[#This Row],[Data do Caixa Previsto]]="",0,YEAR(TbRegistrosSaida[[#This Row],[Data do Caixa Previsto]]))</f>
        <v>2018</v>
      </c>
      <c r="O10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8" spans="2:15" hidden="1" x14ac:dyDescent="0.25">
      <c r="B108" s="20">
        <v>43279.068040624879</v>
      </c>
      <c r="C108" s="20">
        <v>43253</v>
      </c>
      <c r="D108" s="20">
        <v>43279.068040624879</v>
      </c>
      <c r="E108" s="21" t="s">
        <v>16</v>
      </c>
      <c r="F108" s="21" t="s">
        <v>77</v>
      </c>
      <c r="G108" s="21" t="s">
        <v>410</v>
      </c>
      <c r="H108" s="25">
        <v>3670</v>
      </c>
      <c r="I108" s="21">
        <f>IF(TbRegistrosSaida[[#This Row],[Data do Caixa Realizado]]="",0,MONTH(TbRegistrosSaida[[#This Row],[Data do Caixa Realizado]]))</f>
        <v>6</v>
      </c>
      <c r="J108" s="21">
        <f>IF(TbRegistrosSaida[[#This Row],[Data do Caixa Realizado]]="",0,YEAR(TbRegistrosSaida[[#This Row],[Data do Caixa Realizado]]))</f>
        <v>2018</v>
      </c>
      <c r="K108" s="21">
        <f>IF(TbRegistrosSaida[[#This Row],[Data da Competência]]="",0,MONTH(TbRegistrosSaida[[#This Row],[Data da Competência]]))</f>
        <v>6</v>
      </c>
      <c r="L108" s="21">
        <f>IF(TbRegistrosSaida[[#This Row],[Data da Competência]]="",0,YEAR(TbRegistrosSaida[[#This Row],[Data da Competência]]))</f>
        <v>2018</v>
      </c>
      <c r="M108" s="57">
        <f>IF(TbRegistrosSaida[[#This Row],[Data do Caixa Previsto]]="",0,MONTH(TbRegistrosSaida[[#This Row],[Data do Caixa Previsto]]))</f>
        <v>6</v>
      </c>
      <c r="N108" s="58">
        <f>IF(TbRegistrosSaida[[#This Row],[Data do Caixa Previsto]]="",0,YEAR(TbRegistrosSaida[[#This Row],[Data do Caixa Previsto]]))</f>
        <v>2018</v>
      </c>
      <c r="O10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9" spans="2:15" hidden="1" x14ac:dyDescent="0.25">
      <c r="B109" s="20">
        <v>43259.6666754662</v>
      </c>
      <c r="C109" s="20">
        <v>43255</v>
      </c>
      <c r="D109" s="20">
        <v>43259.6666754662</v>
      </c>
      <c r="E109" s="21" t="s">
        <v>16</v>
      </c>
      <c r="F109" s="21" t="s">
        <v>77</v>
      </c>
      <c r="G109" s="21" t="s">
        <v>411</v>
      </c>
      <c r="H109" s="25">
        <v>4320</v>
      </c>
      <c r="I109" s="21">
        <f>IF(TbRegistrosSaida[[#This Row],[Data do Caixa Realizado]]="",0,MONTH(TbRegistrosSaida[[#This Row],[Data do Caixa Realizado]]))</f>
        <v>6</v>
      </c>
      <c r="J109" s="21">
        <f>IF(TbRegistrosSaida[[#This Row],[Data do Caixa Realizado]]="",0,YEAR(TbRegistrosSaida[[#This Row],[Data do Caixa Realizado]]))</f>
        <v>2018</v>
      </c>
      <c r="K109" s="21">
        <f>IF(TbRegistrosSaida[[#This Row],[Data da Competência]]="",0,MONTH(TbRegistrosSaida[[#This Row],[Data da Competência]]))</f>
        <v>6</v>
      </c>
      <c r="L109" s="21">
        <f>IF(TbRegistrosSaida[[#This Row],[Data da Competência]]="",0,YEAR(TbRegistrosSaida[[#This Row],[Data da Competência]]))</f>
        <v>2018</v>
      </c>
      <c r="M109" s="57">
        <f>IF(TbRegistrosSaida[[#This Row],[Data do Caixa Previsto]]="",0,MONTH(TbRegistrosSaida[[#This Row],[Data do Caixa Previsto]]))</f>
        <v>6</v>
      </c>
      <c r="N109" s="58">
        <f>IF(TbRegistrosSaida[[#This Row],[Data do Caixa Previsto]]="",0,YEAR(TbRegistrosSaida[[#This Row],[Data do Caixa Previsto]]))</f>
        <v>2018</v>
      </c>
      <c r="O10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0" spans="2:15" hidden="1" x14ac:dyDescent="0.25">
      <c r="B110" s="20">
        <v>43282.67946727157</v>
      </c>
      <c r="C110" s="20">
        <v>43256</v>
      </c>
      <c r="D110" s="20">
        <v>43282.67946727157</v>
      </c>
      <c r="E110" s="21" t="s">
        <v>16</v>
      </c>
      <c r="F110" s="21" t="s">
        <v>3</v>
      </c>
      <c r="G110" s="21" t="s">
        <v>412</v>
      </c>
      <c r="H110" s="25">
        <v>1809</v>
      </c>
      <c r="I110" s="21">
        <f>IF(TbRegistrosSaida[[#This Row],[Data do Caixa Realizado]]="",0,MONTH(TbRegistrosSaida[[#This Row],[Data do Caixa Realizado]]))</f>
        <v>7</v>
      </c>
      <c r="J110" s="21">
        <f>IF(TbRegistrosSaida[[#This Row],[Data do Caixa Realizado]]="",0,YEAR(TbRegistrosSaida[[#This Row],[Data do Caixa Realizado]]))</f>
        <v>2018</v>
      </c>
      <c r="K110" s="21">
        <f>IF(TbRegistrosSaida[[#This Row],[Data da Competência]]="",0,MONTH(TbRegistrosSaida[[#This Row],[Data da Competência]]))</f>
        <v>6</v>
      </c>
      <c r="L110" s="21">
        <f>IF(TbRegistrosSaida[[#This Row],[Data da Competência]]="",0,YEAR(TbRegistrosSaida[[#This Row],[Data da Competência]]))</f>
        <v>2018</v>
      </c>
      <c r="M110" s="57">
        <f>IF(TbRegistrosSaida[[#This Row],[Data do Caixa Previsto]]="",0,MONTH(TbRegistrosSaida[[#This Row],[Data do Caixa Previsto]]))</f>
        <v>7</v>
      </c>
      <c r="N110" s="58">
        <f>IF(TbRegistrosSaida[[#This Row],[Data do Caixa Previsto]]="",0,YEAR(TbRegistrosSaida[[#This Row],[Data do Caixa Previsto]]))</f>
        <v>2018</v>
      </c>
      <c r="O11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1" spans="2:15" hidden="1" x14ac:dyDescent="0.25">
      <c r="B111" s="20">
        <v>43306.811336210056</v>
      </c>
      <c r="C111" s="20">
        <v>43258</v>
      </c>
      <c r="D111" s="20">
        <v>43306.811336210056</v>
      </c>
      <c r="E111" s="21" t="s">
        <v>16</v>
      </c>
      <c r="F111" s="21" t="s">
        <v>77</v>
      </c>
      <c r="G111" s="21" t="s">
        <v>413</v>
      </c>
      <c r="H111" s="25">
        <v>667</v>
      </c>
      <c r="I111" s="21">
        <f>IF(TbRegistrosSaida[[#This Row],[Data do Caixa Realizado]]="",0,MONTH(TbRegistrosSaida[[#This Row],[Data do Caixa Realizado]]))</f>
        <v>7</v>
      </c>
      <c r="J111" s="21">
        <f>IF(TbRegistrosSaida[[#This Row],[Data do Caixa Realizado]]="",0,YEAR(TbRegistrosSaida[[#This Row],[Data do Caixa Realizado]]))</f>
        <v>2018</v>
      </c>
      <c r="K111" s="21">
        <f>IF(TbRegistrosSaida[[#This Row],[Data da Competência]]="",0,MONTH(TbRegistrosSaida[[#This Row],[Data da Competência]]))</f>
        <v>6</v>
      </c>
      <c r="L111" s="21">
        <f>IF(TbRegistrosSaida[[#This Row],[Data da Competência]]="",0,YEAR(TbRegistrosSaida[[#This Row],[Data da Competência]]))</f>
        <v>2018</v>
      </c>
      <c r="M111" s="57">
        <f>IF(TbRegistrosSaida[[#This Row],[Data do Caixa Previsto]]="",0,MONTH(TbRegistrosSaida[[#This Row],[Data do Caixa Previsto]]))</f>
        <v>7</v>
      </c>
      <c r="N111" s="58">
        <f>IF(TbRegistrosSaida[[#This Row],[Data do Caixa Previsto]]="",0,YEAR(TbRegistrosSaida[[#This Row],[Data do Caixa Previsto]]))</f>
        <v>2018</v>
      </c>
      <c r="O11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2" spans="2:15" hidden="1" x14ac:dyDescent="0.25">
      <c r="B112" s="20">
        <v>43269.791763204586</v>
      </c>
      <c r="C112" s="20">
        <v>43262</v>
      </c>
      <c r="D112" s="20">
        <v>43269.791763204586</v>
      </c>
      <c r="E112" s="21" t="s">
        <v>16</v>
      </c>
      <c r="F112" s="21" t="s">
        <v>17</v>
      </c>
      <c r="G112" s="21" t="s">
        <v>414</v>
      </c>
      <c r="H112" s="25">
        <v>1613</v>
      </c>
      <c r="I112" s="21">
        <f>IF(TbRegistrosSaida[[#This Row],[Data do Caixa Realizado]]="",0,MONTH(TbRegistrosSaida[[#This Row],[Data do Caixa Realizado]]))</f>
        <v>6</v>
      </c>
      <c r="J112" s="21">
        <f>IF(TbRegistrosSaida[[#This Row],[Data do Caixa Realizado]]="",0,YEAR(TbRegistrosSaida[[#This Row],[Data do Caixa Realizado]]))</f>
        <v>2018</v>
      </c>
      <c r="K112" s="21">
        <f>IF(TbRegistrosSaida[[#This Row],[Data da Competência]]="",0,MONTH(TbRegistrosSaida[[#This Row],[Data da Competência]]))</f>
        <v>6</v>
      </c>
      <c r="L112" s="21">
        <f>IF(TbRegistrosSaida[[#This Row],[Data da Competência]]="",0,YEAR(TbRegistrosSaida[[#This Row],[Data da Competência]]))</f>
        <v>2018</v>
      </c>
      <c r="M112" s="57">
        <f>IF(TbRegistrosSaida[[#This Row],[Data do Caixa Previsto]]="",0,MONTH(TbRegistrosSaida[[#This Row],[Data do Caixa Previsto]]))</f>
        <v>6</v>
      </c>
      <c r="N112" s="58">
        <f>IF(TbRegistrosSaida[[#This Row],[Data do Caixa Previsto]]="",0,YEAR(TbRegistrosSaida[[#This Row],[Data do Caixa Previsto]]))</f>
        <v>2018</v>
      </c>
      <c r="O11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3" spans="2:15" hidden="1" x14ac:dyDescent="0.25">
      <c r="B113" s="20">
        <v>43309.241793705783</v>
      </c>
      <c r="C113" s="20">
        <v>43268</v>
      </c>
      <c r="D113" s="20">
        <v>43309.241793705783</v>
      </c>
      <c r="E113" s="21" t="s">
        <v>16</v>
      </c>
      <c r="F113" s="21" t="s">
        <v>49</v>
      </c>
      <c r="G113" s="21" t="s">
        <v>415</v>
      </c>
      <c r="H113" s="25">
        <v>3756</v>
      </c>
      <c r="I113" s="21">
        <f>IF(TbRegistrosSaida[[#This Row],[Data do Caixa Realizado]]="",0,MONTH(TbRegistrosSaida[[#This Row],[Data do Caixa Realizado]]))</f>
        <v>7</v>
      </c>
      <c r="J113" s="21">
        <f>IF(TbRegistrosSaida[[#This Row],[Data do Caixa Realizado]]="",0,YEAR(TbRegistrosSaida[[#This Row],[Data do Caixa Realizado]]))</f>
        <v>2018</v>
      </c>
      <c r="K113" s="21">
        <f>IF(TbRegistrosSaida[[#This Row],[Data da Competência]]="",0,MONTH(TbRegistrosSaida[[#This Row],[Data da Competência]]))</f>
        <v>6</v>
      </c>
      <c r="L113" s="21">
        <f>IF(TbRegistrosSaida[[#This Row],[Data da Competência]]="",0,YEAR(TbRegistrosSaida[[#This Row],[Data da Competência]]))</f>
        <v>2018</v>
      </c>
      <c r="M113" s="57">
        <f>IF(TbRegistrosSaida[[#This Row],[Data do Caixa Previsto]]="",0,MONTH(TbRegistrosSaida[[#This Row],[Data do Caixa Previsto]]))</f>
        <v>7</v>
      </c>
      <c r="N113" s="58">
        <f>IF(TbRegistrosSaida[[#This Row],[Data do Caixa Previsto]]="",0,YEAR(TbRegistrosSaida[[#This Row],[Data do Caixa Previsto]]))</f>
        <v>2018</v>
      </c>
      <c r="O11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4" spans="2:15" hidden="1" x14ac:dyDescent="0.25">
      <c r="B114" s="20">
        <v>43328.010321588059</v>
      </c>
      <c r="C114" s="20">
        <v>43271</v>
      </c>
      <c r="D114" s="20">
        <v>43328.010321588059</v>
      </c>
      <c r="E114" s="21" t="s">
        <v>16</v>
      </c>
      <c r="F114" s="21" t="s">
        <v>3</v>
      </c>
      <c r="G114" s="21" t="s">
        <v>416</v>
      </c>
      <c r="H114" s="25">
        <v>3672</v>
      </c>
      <c r="I114" s="21">
        <f>IF(TbRegistrosSaida[[#This Row],[Data do Caixa Realizado]]="",0,MONTH(TbRegistrosSaida[[#This Row],[Data do Caixa Realizado]]))</f>
        <v>8</v>
      </c>
      <c r="J114" s="21">
        <f>IF(TbRegistrosSaida[[#This Row],[Data do Caixa Realizado]]="",0,YEAR(TbRegistrosSaida[[#This Row],[Data do Caixa Realizado]]))</f>
        <v>2018</v>
      </c>
      <c r="K114" s="21">
        <f>IF(TbRegistrosSaida[[#This Row],[Data da Competência]]="",0,MONTH(TbRegistrosSaida[[#This Row],[Data da Competência]]))</f>
        <v>6</v>
      </c>
      <c r="L114" s="21">
        <f>IF(TbRegistrosSaida[[#This Row],[Data da Competência]]="",0,YEAR(TbRegistrosSaida[[#This Row],[Data da Competência]]))</f>
        <v>2018</v>
      </c>
      <c r="M114" s="57">
        <f>IF(TbRegistrosSaida[[#This Row],[Data do Caixa Previsto]]="",0,MONTH(TbRegistrosSaida[[#This Row],[Data do Caixa Previsto]]))</f>
        <v>8</v>
      </c>
      <c r="N114" s="58">
        <f>IF(TbRegistrosSaida[[#This Row],[Data do Caixa Previsto]]="",0,YEAR(TbRegistrosSaida[[#This Row],[Data do Caixa Previsto]]))</f>
        <v>2018</v>
      </c>
      <c r="O11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5" spans="2:15" hidden="1" x14ac:dyDescent="0.25">
      <c r="B115" s="20">
        <v>43329.109711177305</v>
      </c>
      <c r="C115" s="20">
        <v>43277</v>
      </c>
      <c r="D115" s="20">
        <v>43288.040879967026</v>
      </c>
      <c r="E115" s="21" t="s">
        <v>16</v>
      </c>
      <c r="F115" s="21" t="s">
        <v>77</v>
      </c>
      <c r="G115" s="21" t="s">
        <v>417</v>
      </c>
      <c r="H115" s="25">
        <v>658</v>
      </c>
      <c r="I115" s="21">
        <f>IF(TbRegistrosSaida[[#This Row],[Data do Caixa Realizado]]="",0,MONTH(TbRegistrosSaida[[#This Row],[Data do Caixa Realizado]]))</f>
        <v>8</v>
      </c>
      <c r="J115" s="21">
        <f>IF(TbRegistrosSaida[[#This Row],[Data do Caixa Realizado]]="",0,YEAR(TbRegistrosSaida[[#This Row],[Data do Caixa Realizado]]))</f>
        <v>2018</v>
      </c>
      <c r="K115" s="21">
        <f>IF(TbRegistrosSaida[[#This Row],[Data da Competência]]="",0,MONTH(TbRegistrosSaida[[#This Row],[Data da Competência]]))</f>
        <v>6</v>
      </c>
      <c r="L115" s="21">
        <f>IF(TbRegistrosSaida[[#This Row],[Data da Competência]]="",0,YEAR(TbRegistrosSaida[[#This Row],[Data da Competência]]))</f>
        <v>2018</v>
      </c>
      <c r="M115" s="57">
        <f>IF(TbRegistrosSaida[[#This Row],[Data do Caixa Previsto]]="",0,MONTH(TbRegistrosSaida[[#This Row],[Data do Caixa Previsto]]))</f>
        <v>7</v>
      </c>
      <c r="N115" s="58">
        <f>IF(TbRegistrosSaida[[#This Row],[Data do Caixa Previsto]]="",0,YEAR(TbRegistrosSaida[[#This Row],[Data do Caixa Previsto]]))</f>
        <v>2018</v>
      </c>
      <c r="O11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41.068831210279313</v>
      </c>
    </row>
    <row r="116" spans="2:15" hidden="1" x14ac:dyDescent="0.25">
      <c r="B116" s="20">
        <v>43336.432893175937</v>
      </c>
      <c r="C116" s="20">
        <v>43280</v>
      </c>
      <c r="D116" s="20">
        <v>43336.432893175937</v>
      </c>
      <c r="E116" s="21" t="s">
        <v>16</v>
      </c>
      <c r="F116" s="21" t="s">
        <v>3</v>
      </c>
      <c r="G116" s="21" t="s">
        <v>418</v>
      </c>
      <c r="H116" s="25">
        <v>4762</v>
      </c>
      <c r="I116" s="21">
        <f>IF(TbRegistrosSaida[[#This Row],[Data do Caixa Realizado]]="",0,MONTH(TbRegistrosSaida[[#This Row],[Data do Caixa Realizado]]))</f>
        <v>8</v>
      </c>
      <c r="J116" s="21">
        <f>IF(TbRegistrosSaida[[#This Row],[Data do Caixa Realizado]]="",0,YEAR(TbRegistrosSaida[[#This Row],[Data do Caixa Realizado]]))</f>
        <v>2018</v>
      </c>
      <c r="K116" s="21">
        <f>IF(TbRegistrosSaida[[#This Row],[Data da Competência]]="",0,MONTH(TbRegistrosSaida[[#This Row],[Data da Competência]]))</f>
        <v>6</v>
      </c>
      <c r="L116" s="21">
        <f>IF(TbRegistrosSaida[[#This Row],[Data da Competência]]="",0,YEAR(TbRegistrosSaida[[#This Row],[Data da Competência]]))</f>
        <v>2018</v>
      </c>
      <c r="M116" s="57">
        <f>IF(TbRegistrosSaida[[#This Row],[Data do Caixa Previsto]]="",0,MONTH(TbRegistrosSaida[[#This Row],[Data do Caixa Previsto]]))</f>
        <v>8</v>
      </c>
      <c r="N116" s="58">
        <f>IF(TbRegistrosSaida[[#This Row],[Data do Caixa Previsto]]="",0,YEAR(TbRegistrosSaida[[#This Row],[Data do Caixa Previsto]]))</f>
        <v>2018</v>
      </c>
      <c r="O11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7" spans="2:15" hidden="1" x14ac:dyDescent="0.25">
      <c r="B117" s="20">
        <v>43290.700268540626</v>
      </c>
      <c r="C117" s="20">
        <v>43283</v>
      </c>
      <c r="D117" s="20">
        <v>43290.700268540626</v>
      </c>
      <c r="E117" s="21" t="s">
        <v>16</v>
      </c>
      <c r="F117" s="21" t="s">
        <v>49</v>
      </c>
      <c r="G117" s="21" t="s">
        <v>419</v>
      </c>
      <c r="H117" s="25">
        <v>2186</v>
      </c>
      <c r="I117" s="21">
        <f>IF(TbRegistrosSaida[[#This Row],[Data do Caixa Realizado]]="",0,MONTH(TbRegistrosSaida[[#This Row],[Data do Caixa Realizado]]))</f>
        <v>7</v>
      </c>
      <c r="J117" s="21">
        <f>IF(TbRegistrosSaida[[#This Row],[Data do Caixa Realizado]]="",0,YEAR(TbRegistrosSaida[[#This Row],[Data do Caixa Realizado]]))</f>
        <v>2018</v>
      </c>
      <c r="K117" s="21">
        <f>IF(TbRegistrosSaida[[#This Row],[Data da Competência]]="",0,MONTH(TbRegistrosSaida[[#This Row],[Data da Competência]]))</f>
        <v>7</v>
      </c>
      <c r="L117" s="21">
        <f>IF(TbRegistrosSaida[[#This Row],[Data da Competência]]="",0,YEAR(TbRegistrosSaida[[#This Row],[Data da Competência]]))</f>
        <v>2018</v>
      </c>
      <c r="M117" s="57">
        <f>IF(TbRegistrosSaida[[#This Row],[Data do Caixa Previsto]]="",0,MONTH(TbRegistrosSaida[[#This Row],[Data do Caixa Previsto]]))</f>
        <v>7</v>
      </c>
      <c r="N117" s="58">
        <f>IF(TbRegistrosSaida[[#This Row],[Data do Caixa Previsto]]="",0,YEAR(TbRegistrosSaida[[#This Row],[Data do Caixa Previsto]]))</f>
        <v>2018</v>
      </c>
      <c r="O11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8" spans="2:15" hidden="1" x14ac:dyDescent="0.25">
      <c r="B118" s="20">
        <v>43305.188654160578</v>
      </c>
      <c r="C118" s="20">
        <v>43284</v>
      </c>
      <c r="D118" s="20">
        <v>43305.188654160578</v>
      </c>
      <c r="E118" s="21" t="s">
        <v>16</v>
      </c>
      <c r="F118" s="21" t="s">
        <v>3</v>
      </c>
      <c r="G118" s="21" t="s">
        <v>420</v>
      </c>
      <c r="H118" s="25">
        <v>3411</v>
      </c>
      <c r="I118" s="21">
        <f>IF(TbRegistrosSaida[[#This Row],[Data do Caixa Realizado]]="",0,MONTH(TbRegistrosSaida[[#This Row],[Data do Caixa Realizado]]))</f>
        <v>7</v>
      </c>
      <c r="J118" s="21">
        <f>IF(TbRegistrosSaida[[#This Row],[Data do Caixa Realizado]]="",0,YEAR(TbRegistrosSaida[[#This Row],[Data do Caixa Realizado]]))</f>
        <v>2018</v>
      </c>
      <c r="K118" s="21">
        <f>IF(TbRegistrosSaida[[#This Row],[Data da Competência]]="",0,MONTH(TbRegistrosSaida[[#This Row],[Data da Competência]]))</f>
        <v>7</v>
      </c>
      <c r="L118" s="21">
        <f>IF(TbRegistrosSaida[[#This Row],[Data da Competência]]="",0,YEAR(TbRegistrosSaida[[#This Row],[Data da Competência]]))</f>
        <v>2018</v>
      </c>
      <c r="M118" s="57">
        <f>IF(TbRegistrosSaida[[#This Row],[Data do Caixa Previsto]]="",0,MONTH(TbRegistrosSaida[[#This Row],[Data do Caixa Previsto]]))</f>
        <v>7</v>
      </c>
      <c r="N118" s="58">
        <f>IF(TbRegistrosSaida[[#This Row],[Data do Caixa Previsto]]="",0,YEAR(TbRegistrosSaida[[#This Row],[Data do Caixa Previsto]]))</f>
        <v>2018</v>
      </c>
      <c r="O11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9" spans="2:15" hidden="1" x14ac:dyDescent="0.25">
      <c r="B119" s="20">
        <v>43305.434626119764</v>
      </c>
      <c r="C119" s="20">
        <v>43289</v>
      </c>
      <c r="D119" s="20">
        <v>43305.434626119764</v>
      </c>
      <c r="E119" s="21" t="s">
        <v>16</v>
      </c>
      <c r="F119" s="21" t="s">
        <v>3</v>
      </c>
      <c r="G119" s="21" t="s">
        <v>421</v>
      </c>
      <c r="H119" s="25">
        <v>2524</v>
      </c>
      <c r="I119" s="21">
        <f>IF(TbRegistrosSaida[[#This Row],[Data do Caixa Realizado]]="",0,MONTH(TbRegistrosSaida[[#This Row],[Data do Caixa Realizado]]))</f>
        <v>7</v>
      </c>
      <c r="J119" s="21">
        <f>IF(TbRegistrosSaida[[#This Row],[Data do Caixa Realizado]]="",0,YEAR(TbRegistrosSaida[[#This Row],[Data do Caixa Realizado]]))</f>
        <v>2018</v>
      </c>
      <c r="K119" s="21">
        <f>IF(TbRegistrosSaida[[#This Row],[Data da Competência]]="",0,MONTH(TbRegistrosSaida[[#This Row],[Data da Competência]]))</f>
        <v>7</v>
      </c>
      <c r="L119" s="21">
        <f>IF(TbRegistrosSaida[[#This Row],[Data da Competência]]="",0,YEAR(TbRegistrosSaida[[#This Row],[Data da Competência]]))</f>
        <v>2018</v>
      </c>
      <c r="M119" s="57">
        <f>IF(TbRegistrosSaida[[#This Row],[Data do Caixa Previsto]]="",0,MONTH(TbRegistrosSaida[[#This Row],[Data do Caixa Previsto]]))</f>
        <v>7</v>
      </c>
      <c r="N119" s="58">
        <f>IF(TbRegistrosSaida[[#This Row],[Data do Caixa Previsto]]="",0,YEAR(TbRegistrosSaida[[#This Row],[Data do Caixa Previsto]]))</f>
        <v>2018</v>
      </c>
      <c r="O11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0" spans="2:15" hidden="1" x14ac:dyDescent="0.25">
      <c r="B120" s="20">
        <v>43313.176696691356</v>
      </c>
      <c r="C120" s="20">
        <v>43291</v>
      </c>
      <c r="D120" s="20">
        <v>43313.176696691356</v>
      </c>
      <c r="E120" s="21" t="s">
        <v>16</v>
      </c>
      <c r="F120" s="21" t="s">
        <v>49</v>
      </c>
      <c r="G120" s="21" t="s">
        <v>422</v>
      </c>
      <c r="H120" s="25">
        <v>1709</v>
      </c>
      <c r="I120" s="21">
        <f>IF(TbRegistrosSaida[[#This Row],[Data do Caixa Realizado]]="",0,MONTH(TbRegistrosSaida[[#This Row],[Data do Caixa Realizado]]))</f>
        <v>8</v>
      </c>
      <c r="J120" s="21">
        <f>IF(TbRegistrosSaida[[#This Row],[Data do Caixa Realizado]]="",0,YEAR(TbRegistrosSaida[[#This Row],[Data do Caixa Realizado]]))</f>
        <v>2018</v>
      </c>
      <c r="K120" s="21">
        <f>IF(TbRegistrosSaida[[#This Row],[Data da Competência]]="",0,MONTH(TbRegistrosSaida[[#This Row],[Data da Competência]]))</f>
        <v>7</v>
      </c>
      <c r="L120" s="21">
        <f>IF(TbRegistrosSaida[[#This Row],[Data da Competência]]="",0,YEAR(TbRegistrosSaida[[#This Row],[Data da Competência]]))</f>
        <v>2018</v>
      </c>
      <c r="M120" s="57">
        <f>IF(TbRegistrosSaida[[#This Row],[Data do Caixa Previsto]]="",0,MONTH(TbRegistrosSaida[[#This Row],[Data do Caixa Previsto]]))</f>
        <v>8</v>
      </c>
      <c r="N120" s="58">
        <f>IF(TbRegistrosSaida[[#This Row],[Data do Caixa Previsto]]="",0,YEAR(TbRegistrosSaida[[#This Row],[Data do Caixa Previsto]]))</f>
        <v>2018</v>
      </c>
      <c r="O12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1" spans="2:15" hidden="1" x14ac:dyDescent="0.25">
      <c r="B121" s="20">
        <v>43340.349295717155</v>
      </c>
      <c r="C121" s="20">
        <v>43296</v>
      </c>
      <c r="D121" s="20">
        <v>43340.349295717155</v>
      </c>
      <c r="E121" s="21" t="s">
        <v>16</v>
      </c>
      <c r="F121" s="21" t="s">
        <v>77</v>
      </c>
      <c r="G121" s="21" t="s">
        <v>423</v>
      </c>
      <c r="H121" s="25">
        <v>3181</v>
      </c>
      <c r="I121" s="21">
        <f>IF(TbRegistrosSaida[[#This Row],[Data do Caixa Realizado]]="",0,MONTH(TbRegistrosSaida[[#This Row],[Data do Caixa Realizado]]))</f>
        <v>8</v>
      </c>
      <c r="J121" s="21">
        <f>IF(TbRegistrosSaida[[#This Row],[Data do Caixa Realizado]]="",0,YEAR(TbRegistrosSaida[[#This Row],[Data do Caixa Realizado]]))</f>
        <v>2018</v>
      </c>
      <c r="K121" s="21">
        <f>IF(TbRegistrosSaida[[#This Row],[Data da Competência]]="",0,MONTH(TbRegistrosSaida[[#This Row],[Data da Competência]]))</f>
        <v>7</v>
      </c>
      <c r="L121" s="21">
        <f>IF(TbRegistrosSaida[[#This Row],[Data da Competência]]="",0,YEAR(TbRegistrosSaida[[#This Row],[Data da Competência]]))</f>
        <v>2018</v>
      </c>
      <c r="M121" s="57">
        <f>IF(TbRegistrosSaida[[#This Row],[Data do Caixa Previsto]]="",0,MONTH(TbRegistrosSaida[[#This Row],[Data do Caixa Previsto]]))</f>
        <v>8</v>
      </c>
      <c r="N121" s="58">
        <f>IF(TbRegistrosSaida[[#This Row],[Data do Caixa Previsto]]="",0,YEAR(TbRegistrosSaida[[#This Row],[Data do Caixa Previsto]]))</f>
        <v>2018</v>
      </c>
      <c r="O12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2" spans="2:15" hidden="1" x14ac:dyDescent="0.25">
      <c r="B122" s="20">
        <v>43321.703958375911</v>
      </c>
      <c r="C122" s="20">
        <v>43297</v>
      </c>
      <c r="D122" s="20">
        <v>43321.703958375911</v>
      </c>
      <c r="E122" s="21" t="s">
        <v>16</v>
      </c>
      <c r="F122" s="21" t="s">
        <v>5</v>
      </c>
      <c r="G122" s="21" t="s">
        <v>424</v>
      </c>
      <c r="H122" s="25">
        <v>1108</v>
      </c>
      <c r="I122" s="21">
        <f>IF(TbRegistrosSaida[[#This Row],[Data do Caixa Realizado]]="",0,MONTH(TbRegistrosSaida[[#This Row],[Data do Caixa Realizado]]))</f>
        <v>8</v>
      </c>
      <c r="J122" s="21">
        <f>IF(TbRegistrosSaida[[#This Row],[Data do Caixa Realizado]]="",0,YEAR(TbRegistrosSaida[[#This Row],[Data do Caixa Realizado]]))</f>
        <v>2018</v>
      </c>
      <c r="K122" s="21">
        <f>IF(TbRegistrosSaida[[#This Row],[Data da Competência]]="",0,MONTH(TbRegistrosSaida[[#This Row],[Data da Competência]]))</f>
        <v>7</v>
      </c>
      <c r="L122" s="21">
        <f>IF(TbRegistrosSaida[[#This Row],[Data da Competência]]="",0,YEAR(TbRegistrosSaida[[#This Row],[Data da Competência]]))</f>
        <v>2018</v>
      </c>
      <c r="M122" s="57">
        <f>IF(TbRegistrosSaida[[#This Row],[Data do Caixa Previsto]]="",0,MONTH(TbRegistrosSaida[[#This Row],[Data do Caixa Previsto]]))</f>
        <v>8</v>
      </c>
      <c r="N122" s="58">
        <f>IF(TbRegistrosSaida[[#This Row],[Data do Caixa Previsto]]="",0,YEAR(TbRegistrosSaida[[#This Row],[Data do Caixa Previsto]]))</f>
        <v>2018</v>
      </c>
      <c r="O12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3" spans="2:15" hidden="1" x14ac:dyDescent="0.25">
      <c r="B123" s="20">
        <v>43330.010675622812</v>
      </c>
      <c r="C123" s="20">
        <v>43298</v>
      </c>
      <c r="D123" s="20">
        <v>43330.010675622812</v>
      </c>
      <c r="E123" s="21" t="s">
        <v>16</v>
      </c>
      <c r="F123" s="21" t="s">
        <v>77</v>
      </c>
      <c r="G123" s="21" t="s">
        <v>425</v>
      </c>
      <c r="H123" s="25">
        <v>2777</v>
      </c>
      <c r="I123" s="21">
        <f>IF(TbRegistrosSaida[[#This Row],[Data do Caixa Realizado]]="",0,MONTH(TbRegistrosSaida[[#This Row],[Data do Caixa Realizado]]))</f>
        <v>8</v>
      </c>
      <c r="J123" s="21">
        <f>IF(TbRegistrosSaida[[#This Row],[Data do Caixa Realizado]]="",0,YEAR(TbRegistrosSaida[[#This Row],[Data do Caixa Realizado]]))</f>
        <v>2018</v>
      </c>
      <c r="K123" s="21">
        <f>IF(TbRegistrosSaida[[#This Row],[Data da Competência]]="",0,MONTH(TbRegistrosSaida[[#This Row],[Data da Competência]]))</f>
        <v>7</v>
      </c>
      <c r="L123" s="21">
        <f>IF(TbRegistrosSaida[[#This Row],[Data da Competência]]="",0,YEAR(TbRegistrosSaida[[#This Row],[Data da Competência]]))</f>
        <v>2018</v>
      </c>
      <c r="M123" s="57">
        <f>IF(TbRegistrosSaida[[#This Row],[Data do Caixa Previsto]]="",0,MONTH(TbRegistrosSaida[[#This Row],[Data do Caixa Previsto]]))</f>
        <v>8</v>
      </c>
      <c r="N123" s="58">
        <f>IF(TbRegistrosSaida[[#This Row],[Data do Caixa Previsto]]="",0,YEAR(TbRegistrosSaida[[#This Row],[Data do Caixa Previsto]]))</f>
        <v>2018</v>
      </c>
      <c r="O12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4" spans="2:15" hidden="1" x14ac:dyDescent="0.25">
      <c r="B124" s="20">
        <v>43357.040894197533</v>
      </c>
      <c r="C124" s="20">
        <v>43300</v>
      </c>
      <c r="D124" s="20">
        <v>43357.040894197533</v>
      </c>
      <c r="E124" s="21" t="s">
        <v>16</v>
      </c>
      <c r="F124" s="21" t="s">
        <v>49</v>
      </c>
      <c r="G124" s="21" t="s">
        <v>426</v>
      </c>
      <c r="H124" s="25">
        <v>3793</v>
      </c>
      <c r="I124" s="21">
        <f>IF(TbRegistrosSaida[[#This Row],[Data do Caixa Realizado]]="",0,MONTH(TbRegistrosSaida[[#This Row],[Data do Caixa Realizado]]))</f>
        <v>9</v>
      </c>
      <c r="J124" s="21">
        <f>IF(TbRegistrosSaida[[#This Row],[Data do Caixa Realizado]]="",0,YEAR(TbRegistrosSaida[[#This Row],[Data do Caixa Realizado]]))</f>
        <v>2018</v>
      </c>
      <c r="K124" s="21">
        <f>IF(TbRegistrosSaida[[#This Row],[Data da Competência]]="",0,MONTH(TbRegistrosSaida[[#This Row],[Data da Competência]]))</f>
        <v>7</v>
      </c>
      <c r="L124" s="21">
        <f>IF(TbRegistrosSaida[[#This Row],[Data da Competência]]="",0,YEAR(TbRegistrosSaida[[#This Row],[Data da Competência]]))</f>
        <v>2018</v>
      </c>
      <c r="M124" s="57">
        <f>IF(TbRegistrosSaida[[#This Row],[Data do Caixa Previsto]]="",0,MONTH(TbRegistrosSaida[[#This Row],[Data do Caixa Previsto]]))</f>
        <v>9</v>
      </c>
      <c r="N124" s="58">
        <f>IF(TbRegistrosSaida[[#This Row],[Data do Caixa Previsto]]="",0,YEAR(TbRegistrosSaida[[#This Row],[Data do Caixa Previsto]]))</f>
        <v>2018</v>
      </c>
      <c r="O12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5" spans="2:15" hidden="1" x14ac:dyDescent="0.25">
      <c r="B125" s="20" t="s">
        <v>92</v>
      </c>
      <c r="C125" s="20">
        <v>43302</v>
      </c>
      <c r="D125" s="20">
        <v>43324.888843781351</v>
      </c>
      <c r="E125" s="21" t="s">
        <v>16</v>
      </c>
      <c r="F125" s="21" t="s">
        <v>3</v>
      </c>
      <c r="G125" s="21" t="s">
        <v>427</v>
      </c>
      <c r="H125" s="25">
        <v>4217</v>
      </c>
      <c r="I125" s="21">
        <f>IF(TbRegistrosSaida[[#This Row],[Data do Caixa Realizado]]="",0,MONTH(TbRegistrosSaida[[#This Row],[Data do Caixa Realizado]]))</f>
        <v>0</v>
      </c>
      <c r="J125" s="21">
        <f>IF(TbRegistrosSaida[[#This Row],[Data do Caixa Realizado]]="",0,YEAR(TbRegistrosSaida[[#This Row],[Data do Caixa Realizado]]))</f>
        <v>0</v>
      </c>
      <c r="K125" s="21">
        <f>IF(TbRegistrosSaida[[#This Row],[Data da Competência]]="",0,MONTH(TbRegistrosSaida[[#This Row],[Data da Competência]]))</f>
        <v>7</v>
      </c>
      <c r="L125" s="21">
        <f>IF(TbRegistrosSaida[[#This Row],[Data da Competência]]="",0,YEAR(TbRegistrosSaida[[#This Row],[Data da Competência]]))</f>
        <v>2018</v>
      </c>
      <c r="M125" s="57">
        <f>IF(TbRegistrosSaida[[#This Row],[Data do Caixa Previsto]]="",0,MONTH(TbRegistrosSaida[[#This Row],[Data do Caixa Previsto]]))</f>
        <v>8</v>
      </c>
      <c r="N125" s="58">
        <f>IF(TbRegistrosSaida[[#This Row],[Data do Caixa Previsto]]="",0,YEAR(TbRegistrosSaida[[#This Row],[Data do Caixa Previsto]]))</f>
        <v>2018</v>
      </c>
      <c r="O12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2069.1111562186488</v>
      </c>
    </row>
    <row r="126" spans="2:15" hidden="1" x14ac:dyDescent="0.25">
      <c r="B126" s="20">
        <v>43342.623492549312</v>
      </c>
      <c r="C126" s="20">
        <v>43309</v>
      </c>
      <c r="D126" s="20">
        <v>43342.623492549312</v>
      </c>
      <c r="E126" s="21" t="s">
        <v>16</v>
      </c>
      <c r="F126" s="21" t="s">
        <v>77</v>
      </c>
      <c r="G126" s="21" t="s">
        <v>428</v>
      </c>
      <c r="H126" s="25">
        <v>4850</v>
      </c>
      <c r="I126" s="21">
        <f>IF(TbRegistrosSaida[[#This Row],[Data do Caixa Realizado]]="",0,MONTH(TbRegistrosSaida[[#This Row],[Data do Caixa Realizado]]))</f>
        <v>8</v>
      </c>
      <c r="J126" s="21">
        <f>IF(TbRegistrosSaida[[#This Row],[Data do Caixa Realizado]]="",0,YEAR(TbRegistrosSaida[[#This Row],[Data do Caixa Realizado]]))</f>
        <v>2018</v>
      </c>
      <c r="K126" s="21">
        <f>IF(TbRegistrosSaida[[#This Row],[Data da Competência]]="",0,MONTH(TbRegistrosSaida[[#This Row],[Data da Competência]]))</f>
        <v>7</v>
      </c>
      <c r="L126" s="21">
        <f>IF(TbRegistrosSaida[[#This Row],[Data da Competência]]="",0,YEAR(TbRegistrosSaida[[#This Row],[Data da Competência]]))</f>
        <v>2018</v>
      </c>
      <c r="M126" s="57">
        <f>IF(TbRegistrosSaida[[#This Row],[Data do Caixa Previsto]]="",0,MONTH(TbRegistrosSaida[[#This Row],[Data do Caixa Previsto]]))</f>
        <v>8</v>
      </c>
      <c r="N126" s="58">
        <f>IF(TbRegistrosSaida[[#This Row],[Data do Caixa Previsto]]="",0,YEAR(TbRegistrosSaida[[#This Row],[Data do Caixa Previsto]]))</f>
        <v>2018</v>
      </c>
      <c r="O12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7" spans="2:15" hidden="1" x14ac:dyDescent="0.25">
      <c r="B127" s="20">
        <v>43354.968085716326</v>
      </c>
      <c r="C127" s="20">
        <v>43311</v>
      </c>
      <c r="D127" s="20">
        <v>43331.330507155544</v>
      </c>
      <c r="E127" s="21" t="s">
        <v>16</v>
      </c>
      <c r="F127" s="21" t="s">
        <v>3</v>
      </c>
      <c r="G127" s="21" t="s">
        <v>429</v>
      </c>
      <c r="H127" s="25">
        <v>4309</v>
      </c>
      <c r="I127" s="21">
        <f>IF(TbRegistrosSaida[[#This Row],[Data do Caixa Realizado]]="",0,MONTH(TbRegistrosSaida[[#This Row],[Data do Caixa Realizado]]))</f>
        <v>9</v>
      </c>
      <c r="J127" s="21">
        <f>IF(TbRegistrosSaida[[#This Row],[Data do Caixa Realizado]]="",0,YEAR(TbRegistrosSaida[[#This Row],[Data do Caixa Realizado]]))</f>
        <v>2018</v>
      </c>
      <c r="K127" s="21">
        <f>IF(TbRegistrosSaida[[#This Row],[Data da Competência]]="",0,MONTH(TbRegistrosSaida[[#This Row],[Data da Competência]]))</f>
        <v>7</v>
      </c>
      <c r="L127" s="21">
        <f>IF(TbRegistrosSaida[[#This Row],[Data da Competência]]="",0,YEAR(TbRegistrosSaida[[#This Row],[Data da Competência]]))</f>
        <v>2018</v>
      </c>
      <c r="M127" s="57">
        <f>IF(TbRegistrosSaida[[#This Row],[Data do Caixa Previsto]]="",0,MONTH(TbRegistrosSaida[[#This Row],[Data do Caixa Previsto]]))</f>
        <v>8</v>
      </c>
      <c r="N127" s="58">
        <f>IF(TbRegistrosSaida[[#This Row],[Data do Caixa Previsto]]="",0,YEAR(TbRegistrosSaida[[#This Row],[Data do Caixa Previsto]]))</f>
        <v>2018</v>
      </c>
      <c r="O12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23.637578560781549</v>
      </c>
    </row>
    <row r="128" spans="2:15" hidden="1" x14ac:dyDescent="0.25">
      <c r="B128" s="20">
        <v>43374.615784892369</v>
      </c>
      <c r="C128" s="20">
        <v>43313</v>
      </c>
      <c r="D128" s="20">
        <v>43314.576092684139</v>
      </c>
      <c r="E128" s="21" t="s">
        <v>16</v>
      </c>
      <c r="F128" s="21" t="s">
        <v>5</v>
      </c>
      <c r="G128" s="21" t="s">
        <v>430</v>
      </c>
      <c r="H128" s="25">
        <v>4462</v>
      </c>
      <c r="I128" s="21">
        <f>IF(TbRegistrosSaida[[#This Row],[Data do Caixa Realizado]]="",0,MONTH(TbRegistrosSaida[[#This Row],[Data do Caixa Realizado]]))</f>
        <v>10</v>
      </c>
      <c r="J128" s="21">
        <f>IF(TbRegistrosSaida[[#This Row],[Data do Caixa Realizado]]="",0,YEAR(TbRegistrosSaida[[#This Row],[Data do Caixa Realizado]]))</f>
        <v>2018</v>
      </c>
      <c r="K128" s="21">
        <f>IF(TbRegistrosSaida[[#This Row],[Data da Competência]]="",0,MONTH(TbRegistrosSaida[[#This Row],[Data da Competência]]))</f>
        <v>8</v>
      </c>
      <c r="L128" s="21">
        <f>IF(TbRegistrosSaida[[#This Row],[Data da Competência]]="",0,YEAR(TbRegistrosSaida[[#This Row],[Data da Competência]]))</f>
        <v>2018</v>
      </c>
      <c r="M128" s="57">
        <f>IF(TbRegistrosSaida[[#This Row],[Data do Caixa Previsto]]="",0,MONTH(TbRegistrosSaida[[#This Row],[Data do Caixa Previsto]]))</f>
        <v>8</v>
      </c>
      <c r="N128" s="58">
        <f>IF(TbRegistrosSaida[[#This Row],[Data do Caixa Previsto]]="",0,YEAR(TbRegistrosSaida[[#This Row],[Data do Caixa Previsto]]))</f>
        <v>2018</v>
      </c>
      <c r="O12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60.039692208229098</v>
      </c>
    </row>
    <row r="129" spans="2:15" hidden="1" x14ac:dyDescent="0.25">
      <c r="B129" s="20">
        <v>43375.491443107414</v>
      </c>
      <c r="C129" s="20">
        <v>43319</v>
      </c>
      <c r="D129" s="20">
        <v>43375.491443107414</v>
      </c>
      <c r="E129" s="21" t="s">
        <v>16</v>
      </c>
      <c r="F129" s="21" t="s">
        <v>17</v>
      </c>
      <c r="G129" s="21" t="s">
        <v>431</v>
      </c>
      <c r="H129" s="25">
        <v>4947</v>
      </c>
      <c r="I129" s="21">
        <f>IF(TbRegistrosSaida[[#This Row],[Data do Caixa Realizado]]="",0,MONTH(TbRegistrosSaida[[#This Row],[Data do Caixa Realizado]]))</f>
        <v>10</v>
      </c>
      <c r="J129" s="21">
        <f>IF(TbRegistrosSaida[[#This Row],[Data do Caixa Realizado]]="",0,YEAR(TbRegistrosSaida[[#This Row],[Data do Caixa Realizado]]))</f>
        <v>2018</v>
      </c>
      <c r="K129" s="21">
        <f>IF(TbRegistrosSaida[[#This Row],[Data da Competência]]="",0,MONTH(TbRegistrosSaida[[#This Row],[Data da Competência]]))</f>
        <v>8</v>
      </c>
      <c r="L129" s="21">
        <f>IF(TbRegistrosSaida[[#This Row],[Data da Competência]]="",0,YEAR(TbRegistrosSaida[[#This Row],[Data da Competência]]))</f>
        <v>2018</v>
      </c>
      <c r="M129" s="57">
        <f>IF(TbRegistrosSaida[[#This Row],[Data do Caixa Previsto]]="",0,MONTH(TbRegistrosSaida[[#This Row],[Data do Caixa Previsto]]))</f>
        <v>10</v>
      </c>
      <c r="N129" s="58">
        <f>IF(TbRegistrosSaida[[#This Row],[Data do Caixa Previsto]]="",0,YEAR(TbRegistrosSaida[[#This Row],[Data do Caixa Previsto]]))</f>
        <v>2018</v>
      </c>
      <c r="O12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0" spans="2:15" hidden="1" x14ac:dyDescent="0.25">
      <c r="B130" s="20">
        <v>43368.704862392784</v>
      </c>
      <c r="C130" s="20">
        <v>43322</v>
      </c>
      <c r="D130" s="20">
        <v>43368.704862392784</v>
      </c>
      <c r="E130" s="21" t="s">
        <v>16</v>
      </c>
      <c r="F130" s="21" t="s">
        <v>49</v>
      </c>
      <c r="G130" s="21" t="s">
        <v>432</v>
      </c>
      <c r="H130" s="25">
        <v>902</v>
      </c>
      <c r="I130" s="21">
        <f>IF(TbRegistrosSaida[[#This Row],[Data do Caixa Realizado]]="",0,MONTH(TbRegistrosSaida[[#This Row],[Data do Caixa Realizado]]))</f>
        <v>9</v>
      </c>
      <c r="J130" s="21">
        <f>IF(TbRegistrosSaida[[#This Row],[Data do Caixa Realizado]]="",0,YEAR(TbRegistrosSaida[[#This Row],[Data do Caixa Realizado]]))</f>
        <v>2018</v>
      </c>
      <c r="K130" s="21">
        <f>IF(TbRegistrosSaida[[#This Row],[Data da Competência]]="",0,MONTH(TbRegistrosSaida[[#This Row],[Data da Competência]]))</f>
        <v>8</v>
      </c>
      <c r="L130" s="21">
        <f>IF(TbRegistrosSaida[[#This Row],[Data da Competência]]="",0,YEAR(TbRegistrosSaida[[#This Row],[Data da Competência]]))</f>
        <v>2018</v>
      </c>
      <c r="M130" s="57">
        <f>IF(TbRegistrosSaida[[#This Row],[Data do Caixa Previsto]]="",0,MONTH(TbRegistrosSaida[[#This Row],[Data do Caixa Previsto]]))</f>
        <v>9</v>
      </c>
      <c r="N130" s="58">
        <f>IF(TbRegistrosSaida[[#This Row],[Data do Caixa Previsto]]="",0,YEAR(TbRegistrosSaida[[#This Row],[Data do Caixa Previsto]]))</f>
        <v>2018</v>
      </c>
      <c r="O13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1" spans="2:15" hidden="1" x14ac:dyDescent="0.25">
      <c r="B131" s="20">
        <v>43366.872016051886</v>
      </c>
      <c r="C131" s="20">
        <v>43324</v>
      </c>
      <c r="D131" s="20">
        <v>43366.872016051886</v>
      </c>
      <c r="E131" s="21" t="s">
        <v>16</v>
      </c>
      <c r="F131" s="21" t="s">
        <v>17</v>
      </c>
      <c r="G131" s="21" t="s">
        <v>433</v>
      </c>
      <c r="H131" s="25">
        <v>432</v>
      </c>
      <c r="I131" s="21">
        <f>IF(TbRegistrosSaida[[#This Row],[Data do Caixa Realizado]]="",0,MONTH(TbRegistrosSaida[[#This Row],[Data do Caixa Realizado]]))</f>
        <v>9</v>
      </c>
      <c r="J131" s="21">
        <f>IF(TbRegistrosSaida[[#This Row],[Data do Caixa Realizado]]="",0,YEAR(TbRegistrosSaida[[#This Row],[Data do Caixa Realizado]]))</f>
        <v>2018</v>
      </c>
      <c r="K131" s="21">
        <f>IF(TbRegistrosSaida[[#This Row],[Data da Competência]]="",0,MONTH(TbRegistrosSaida[[#This Row],[Data da Competência]]))</f>
        <v>8</v>
      </c>
      <c r="L131" s="21">
        <f>IF(TbRegistrosSaida[[#This Row],[Data da Competência]]="",0,YEAR(TbRegistrosSaida[[#This Row],[Data da Competência]]))</f>
        <v>2018</v>
      </c>
      <c r="M131" s="57">
        <f>IF(TbRegistrosSaida[[#This Row],[Data do Caixa Previsto]]="",0,MONTH(TbRegistrosSaida[[#This Row],[Data do Caixa Previsto]]))</f>
        <v>9</v>
      </c>
      <c r="N131" s="58">
        <f>IF(TbRegistrosSaida[[#This Row],[Data do Caixa Previsto]]="",0,YEAR(TbRegistrosSaida[[#This Row],[Data do Caixa Previsto]]))</f>
        <v>2018</v>
      </c>
      <c r="O13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2" spans="2:15" hidden="1" x14ac:dyDescent="0.25">
      <c r="B132" s="20">
        <v>43356.956112414089</v>
      </c>
      <c r="C132" s="20">
        <v>43327</v>
      </c>
      <c r="D132" s="20">
        <v>43356.956112414089</v>
      </c>
      <c r="E132" s="21" t="s">
        <v>16</v>
      </c>
      <c r="F132" s="21" t="s">
        <v>3</v>
      </c>
      <c r="G132" s="21" t="s">
        <v>434</v>
      </c>
      <c r="H132" s="25">
        <v>4084</v>
      </c>
      <c r="I132" s="21">
        <f>IF(TbRegistrosSaida[[#This Row],[Data do Caixa Realizado]]="",0,MONTH(TbRegistrosSaida[[#This Row],[Data do Caixa Realizado]]))</f>
        <v>9</v>
      </c>
      <c r="J132" s="21">
        <f>IF(TbRegistrosSaida[[#This Row],[Data do Caixa Realizado]]="",0,YEAR(TbRegistrosSaida[[#This Row],[Data do Caixa Realizado]]))</f>
        <v>2018</v>
      </c>
      <c r="K132" s="21">
        <f>IF(TbRegistrosSaida[[#This Row],[Data da Competência]]="",0,MONTH(TbRegistrosSaida[[#This Row],[Data da Competência]]))</f>
        <v>8</v>
      </c>
      <c r="L132" s="21">
        <f>IF(TbRegistrosSaida[[#This Row],[Data da Competência]]="",0,YEAR(TbRegistrosSaida[[#This Row],[Data da Competência]]))</f>
        <v>2018</v>
      </c>
      <c r="M132" s="57">
        <f>IF(TbRegistrosSaida[[#This Row],[Data do Caixa Previsto]]="",0,MONTH(TbRegistrosSaida[[#This Row],[Data do Caixa Previsto]]))</f>
        <v>9</v>
      </c>
      <c r="N132" s="58">
        <f>IF(TbRegistrosSaida[[#This Row],[Data do Caixa Previsto]]="",0,YEAR(TbRegistrosSaida[[#This Row],[Data do Caixa Previsto]]))</f>
        <v>2018</v>
      </c>
      <c r="O13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3" spans="2:15" hidden="1" x14ac:dyDescent="0.25">
      <c r="B133" s="20">
        <v>43433.012235706425</v>
      </c>
      <c r="C133" s="20">
        <v>43334</v>
      </c>
      <c r="D133" s="20">
        <v>43359.016635810432</v>
      </c>
      <c r="E133" s="21" t="s">
        <v>16</v>
      </c>
      <c r="F133" s="21" t="s">
        <v>77</v>
      </c>
      <c r="G133" s="21" t="s">
        <v>435</v>
      </c>
      <c r="H133" s="25">
        <v>1054</v>
      </c>
      <c r="I133" s="21">
        <f>IF(TbRegistrosSaida[[#This Row],[Data do Caixa Realizado]]="",0,MONTH(TbRegistrosSaida[[#This Row],[Data do Caixa Realizado]]))</f>
        <v>11</v>
      </c>
      <c r="J133" s="21">
        <f>IF(TbRegistrosSaida[[#This Row],[Data do Caixa Realizado]]="",0,YEAR(TbRegistrosSaida[[#This Row],[Data do Caixa Realizado]]))</f>
        <v>2018</v>
      </c>
      <c r="K133" s="21">
        <f>IF(TbRegistrosSaida[[#This Row],[Data da Competência]]="",0,MONTH(TbRegistrosSaida[[#This Row],[Data da Competência]]))</f>
        <v>8</v>
      </c>
      <c r="L133" s="21">
        <f>IF(TbRegistrosSaida[[#This Row],[Data da Competência]]="",0,YEAR(TbRegistrosSaida[[#This Row],[Data da Competência]]))</f>
        <v>2018</v>
      </c>
      <c r="M133" s="57">
        <f>IF(TbRegistrosSaida[[#This Row],[Data do Caixa Previsto]]="",0,MONTH(TbRegistrosSaida[[#This Row],[Data do Caixa Previsto]]))</f>
        <v>9</v>
      </c>
      <c r="N133" s="58">
        <f>IF(TbRegistrosSaida[[#This Row],[Data do Caixa Previsto]]="",0,YEAR(TbRegistrosSaida[[#This Row],[Data do Caixa Previsto]]))</f>
        <v>2018</v>
      </c>
      <c r="O13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73.9955998959922</v>
      </c>
    </row>
    <row r="134" spans="2:15" hidden="1" x14ac:dyDescent="0.25">
      <c r="B134" s="20">
        <v>43352.077398814596</v>
      </c>
      <c r="C134" s="20">
        <v>43335</v>
      </c>
      <c r="D134" s="20">
        <v>43352.077398814596</v>
      </c>
      <c r="E134" s="21" t="s">
        <v>16</v>
      </c>
      <c r="F134" s="21" t="s">
        <v>17</v>
      </c>
      <c r="G134" s="21" t="s">
        <v>436</v>
      </c>
      <c r="H134" s="25">
        <v>4608</v>
      </c>
      <c r="I134" s="21">
        <f>IF(TbRegistrosSaida[[#This Row],[Data do Caixa Realizado]]="",0,MONTH(TbRegistrosSaida[[#This Row],[Data do Caixa Realizado]]))</f>
        <v>9</v>
      </c>
      <c r="J134" s="21">
        <f>IF(TbRegistrosSaida[[#This Row],[Data do Caixa Realizado]]="",0,YEAR(TbRegistrosSaida[[#This Row],[Data do Caixa Realizado]]))</f>
        <v>2018</v>
      </c>
      <c r="K134" s="21">
        <f>IF(TbRegistrosSaida[[#This Row],[Data da Competência]]="",0,MONTH(TbRegistrosSaida[[#This Row],[Data da Competência]]))</f>
        <v>8</v>
      </c>
      <c r="L134" s="21">
        <f>IF(TbRegistrosSaida[[#This Row],[Data da Competência]]="",0,YEAR(TbRegistrosSaida[[#This Row],[Data da Competência]]))</f>
        <v>2018</v>
      </c>
      <c r="M134" s="57">
        <f>IF(TbRegistrosSaida[[#This Row],[Data do Caixa Previsto]]="",0,MONTH(TbRegistrosSaida[[#This Row],[Data do Caixa Previsto]]))</f>
        <v>9</v>
      </c>
      <c r="N134" s="58">
        <f>IF(TbRegistrosSaida[[#This Row],[Data do Caixa Previsto]]="",0,YEAR(TbRegistrosSaida[[#This Row],[Data do Caixa Previsto]]))</f>
        <v>2018</v>
      </c>
      <c r="O13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5" spans="2:15" hidden="1" x14ac:dyDescent="0.25">
      <c r="B135" s="20">
        <v>43363.149663367352</v>
      </c>
      <c r="C135" s="20">
        <v>43340</v>
      </c>
      <c r="D135" s="20">
        <v>43363.149663367352</v>
      </c>
      <c r="E135" s="21" t="s">
        <v>16</v>
      </c>
      <c r="F135" s="21" t="s">
        <v>49</v>
      </c>
      <c r="G135" s="21" t="s">
        <v>437</v>
      </c>
      <c r="H135" s="25">
        <v>1238</v>
      </c>
      <c r="I135" s="21">
        <f>IF(TbRegistrosSaida[[#This Row],[Data do Caixa Realizado]]="",0,MONTH(TbRegistrosSaida[[#This Row],[Data do Caixa Realizado]]))</f>
        <v>9</v>
      </c>
      <c r="J135" s="21">
        <f>IF(TbRegistrosSaida[[#This Row],[Data do Caixa Realizado]]="",0,YEAR(TbRegistrosSaida[[#This Row],[Data do Caixa Realizado]]))</f>
        <v>2018</v>
      </c>
      <c r="K135" s="21">
        <f>IF(TbRegistrosSaida[[#This Row],[Data da Competência]]="",0,MONTH(TbRegistrosSaida[[#This Row],[Data da Competência]]))</f>
        <v>8</v>
      </c>
      <c r="L135" s="21">
        <f>IF(TbRegistrosSaida[[#This Row],[Data da Competência]]="",0,YEAR(TbRegistrosSaida[[#This Row],[Data da Competência]]))</f>
        <v>2018</v>
      </c>
      <c r="M135" s="57">
        <f>IF(TbRegistrosSaida[[#This Row],[Data do Caixa Previsto]]="",0,MONTH(TbRegistrosSaida[[#This Row],[Data do Caixa Previsto]]))</f>
        <v>9</v>
      </c>
      <c r="N135" s="58">
        <f>IF(TbRegistrosSaida[[#This Row],[Data do Caixa Previsto]]="",0,YEAR(TbRegistrosSaida[[#This Row],[Data do Caixa Previsto]]))</f>
        <v>2018</v>
      </c>
      <c r="O13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6" spans="2:15" hidden="1" x14ac:dyDescent="0.25">
      <c r="B136" s="20">
        <v>43370.729955212279</v>
      </c>
      <c r="C136" s="20">
        <v>43346</v>
      </c>
      <c r="D136" s="20">
        <v>43370.729955212279</v>
      </c>
      <c r="E136" s="21" t="s">
        <v>16</v>
      </c>
      <c r="F136" s="21" t="s">
        <v>77</v>
      </c>
      <c r="G136" s="21" t="s">
        <v>438</v>
      </c>
      <c r="H136" s="25">
        <v>1342</v>
      </c>
      <c r="I136" s="21">
        <f>IF(TbRegistrosSaida[[#This Row],[Data do Caixa Realizado]]="",0,MONTH(TbRegistrosSaida[[#This Row],[Data do Caixa Realizado]]))</f>
        <v>9</v>
      </c>
      <c r="J136" s="21">
        <f>IF(TbRegistrosSaida[[#This Row],[Data do Caixa Realizado]]="",0,YEAR(TbRegistrosSaida[[#This Row],[Data do Caixa Realizado]]))</f>
        <v>2018</v>
      </c>
      <c r="K136" s="21">
        <f>IF(TbRegistrosSaida[[#This Row],[Data da Competência]]="",0,MONTH(TbRegistrosSaida[[#This Row],[Data da Competência]]))</f>
        <v>9</v>
      </c>
      <c r="L136" s="21">
        <f>IF(TbRegistrosSaida[[#This Row],[Data da Competência]]="",0,YEAR(TbRegistrosSaida[[#This Row],[Data da Competência]]))</f>
        <v>2018</v>
      </c>
      <c r="M136" s="57">
        <f>IF(TbRegistrosSaida[[#This Row],[Data do Caixa Previsto]]="",0,MONTH(TbRegistrosSaida[[#This Row],[Data do Caixa Previsto]]))</f>
        <v>9</v>
      </c>
      <c r="N136" s="58">
        <f>IF(TbRegistrosSaida[[#This Row],[Data do Caixa Previsto]]="",0,YEAR(TbRegistrosSaida[[#This Row],[Data do Caixa Previsto]]))</f>
        <v>2018</v>
      </c>
      <c r="O13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7" spans="2:15" hidden="1" x14ac:dyDescent="0.25">
      <c r="B137" s="20">
        <v>43438.840632706146</v>
      </c>
      <c r="C137" s="20">
        <v>43350</v>
      </c>
      <c r="D137" s="20">
        <v>43402.779511524925</v>
      </c>
      <c r="E137" s="21" t="s">
        <v>16</v>
      </c>
      <c r="F137" s="21" t="s">
        <v>17</v>
      </c>
      <c r="G137" s="21" t="s">
        <v>439</v>
      </c>
      <c r="H137" s="25">
        <v>2936</v>
      </c>
      <c r="I137" s="21">
        <f>IF(TbRegistrosSaida[[#This Row],[Data do Caixa Realizado]]="",0,MONTH(TbRegistrosSaida[[#This Row],[Data do Caixa Realizado]]))</f>
        <v>12</v>
      </c>
      <c r="J137" s="21">
        <f>IF(TbRegistrosSaida[[#This Row],[Data do Caixa Realizado]]="",0,YEAR(TbRegistrosSaida[[#This Row],[Data do Caixa Realizado]]))</f>
        <v>2018</v>
      </c>
      <c r="K137" s="21">
        <f>IF(TbRegistrosSaida[[#This Row],[Data da Competência]]="",0,MONTH(TbRegistrosSaida[[#This Row],[Data da Competência]]))</f>
        <v>9</v>
      </c>
      <c r="L137" s="21">
        <f>IF(TbRegistrosSaida[[#This Row],[Data da Competência]]="",0,YEAR(TbRegistrosSaida[[#This Row],[Data da Competência]]))</f>
        <v>2018</v>
      </c>
      <c r="M137" s="57">
        <f>IF(TbRegistrosSaida[[#This Row],[Data do Caixa Previsto]]="",0,MONTH(TbRegistrosSaida[[#This Row],[Data do Caixa Previsto]]))</f>
        <v>10</v>
      </c>
      <c r="N137" s="58">
        <f>IF(TbRegistrosSaida[[#This Row],[Data do Caixa Previsto]]="",0,YEAR(TbRegistrosSaida[[#This Row],[Data do Caixa Previsto]]))</f>
        <v>2018</v>
      </c>
      <c r="O13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36.061121181221097</v>
      </c>
    </row>
    <row r="138" spans="2:15" hidden="1" x14ac:dyDescent="0.25">
      <c r="B138" s="20">
        <v>43381.142100455778</v>
      </c>
      <c r="C138" s="20">
        <v>43351</v>
      </c>
      <c r="D138" s="20">
        <v>43381.142100455778</v>
      </c>
      <c r="E138" s="21" t="s">
        <v>16</v>
      </c>
      <c r="F138" s="21" t="s">
        <v>77</v>
      </c>
      <c r="G138" s="21" t="s">
        <v>440</v>
      </c>
      <c r="H138" s="25">
        <v>875</v>
      </c>
      <c r="I138" s="21">
        <f>IF(TbRegistrosSaida[[#This Row],[Data do Caixa Realizado]]="",0,MONTH(TbRegistrosSaida[[#This Row],[Data do Caixa Realizado]]))</f>
        <v>10</v>
      </c>
      <c r="J138" s="21">
        <f>IF(TbRegistrosSaida[[#This Row],[Data do Caixa Realizado]]="",0,YEAR(TbRegistrosSaida[[#This Row],[Data do Caixa Realizado]]))</f>
        <v>2018</v>
      </c>
      <c r="K138" s="21">
        <f>IF(TbRegistrosSaida[[#This Row],[Data da Competência]]="",0,MONTH(TbRegistrosSaida[[#This Row],[Data da Competência]]))</f>
        <v>9</v>
      </c>
      <c r="L138" s="21">
        <f>IF(TbRegistrosSaida[[#This Row],[Data da Competência]]="",0,YEAR(TbRegistrosSaida[[#This Row],[Data da Competência]]))</f>
        <v>2018</v>
      </c>
      <c r="M138" s="57">
        <f>IF(TbRegistrosSaida[[#This Row],[Data do Caixa Previsto]]="",0,MONTH(TbRegistrosSaida[[#This Row],[Data do Caixa Previsto]]))</f>
        <v>10</v>
      </c>
      <c r="N138" s="58">
        <f>IF(TbRegistrosSaida[[#This Row],[Data do Caixa Previsto]]="",0,YEAR(TbRegistrosSaida[[#This Row],[Data do Caixa Previsto]]))</f>
        <v>2018</v>
      </c>
      <c r="O13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9" spans="2:15" hidden="1" x14ac:dyDescent="0.25">
      <c r="B139" s="20">
        <v>43355.021702138809</v>
      </c>
      <c r="C139" s="20">
        <v>43353</v>
      </c>
      <c r="D139" s="20">
        <v>43355.021702138809</v>
      </c>
      <c r="E139" s="21" t="s">
        <v>16</v>
      </c>
      <c r="F139" s="21" t="s">
        <v>5</v>
      </c>
      <c r="G139" s="21" t="s">
        <v>441</v>
      </c>
      <c r="H139" s="25">
        <v>159</v>
      </c>
      <c r="I139" s="21">
        <f>IF(TbRegistrosSaida[[#This Row],[Data do Caixa Realizado]]="",0,MONTH(TbRegistrosSaida[[#This Row],[Data do Caixa Realizado]]))</f>
        <v>9</v>
      </c>
      <c r="J139" s="21">
        <f>IF(TbRegistrosSaida[[#This Row],[Data do Caixa Realizado]]="",0,YEAR(TbRegistrosSaida[[#This Row],[Data do Caixa Realizado]]))</f>
        <v>2018</v>
      </c>
      <c r="K139" s="21">
        <f>IF(TbRegistrosSaida[[#This Row],[Data da Competência]]="",0,MONTH(TbRegistrosSaida[[#This Row],[Data da Competência]]))</f>
        <v>9</v>
      </c>
      <c r="L139" s="21">
        <f>IF(TbRegistrosSaida[[#This Row],[Data da Competência]]="",0,YEAR(TbRegistrosSaida[[#This Row],[Data da Competência]]))</f>
        <v>2018</v>
      </c>
      <c r="M139" s="57">
        <f>IF(TbRegistrosSaida[[#This Row],[Data do Caixa Previsto]]="",0,MONTH(TbRegistrosSaida[[#This Row],[Data do Caixa Previsto]]))</f>
        <v>9</v>
      </c>
      <c r="N139" s="58">
        <f>IF(TbRegistrosSaida[[#This Row],[Data do Caixa Previsto]]="",0,YEAR(TbRegistrosSaida[[#This Row],[Data do Caixa Previsto]]))</f>
        <v>2018</v>
      </c>
      <c r="O13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0" spans="2:15" hidden="1" x14ac:dyDescent="0.25">
      <c r="B140" s="20">
        <v>43382.641285204452</v>
      </c>
      <c r="C140" s="20">
        <v>43358</v>
      </c>
      <c r="D140" s="20">
        <v>43382.641285204452</v>
      </c>
      <c r="E140" s="21" t="s">
        <v>16</v>
      </c>
      <c r="F140" s="21" t="s">
        <v>77</v>
      </c>
      <c r="G140" s="21" t="s">
        <v>442</v>
      </c>
      <c r="H140" s="25">
        <v>2933</v>
      </c>
      <c r="I140" s="21">
        <f>IF(TbRegistrosSaida[[#This Row],[Data do Caixa Realizado]]="",0,MONTH(TbRegistrosSaida[[#This Row],[Data do Caixa Realizado]]))</f>
        <v>10</v>
      </c>
      <c r="J140" s="21">
        <f>IF(TbRegistrosSaida[[#This Row],[Data do Caixa Realizado]]="",0,YEAR(TbRegistrosSaida[[#This Row],[Data do Caixa Realizado]]))</f>
        <v>2018</v>
      </c>
      <c r="K140" s="21">
        <f>IF(TbRegistrosSaida[[#This Row],[Data da Competência]]="",0,MONTH(TbRegistrosSaida[[#This Row],[Data da Competência]]))</f>
        <v>9</v>
      </c>
      <c r="L140" s="21">
        <f>IF(TbRegistrosSaida[[#This Row],[Data da Competência]]="",0,YEAR(TbRegistrosSaida[[#This Row],[Data da Competência]]))</f>
        <v>2018</v>
      </c>
      <c r="M140" s="57">
        <f>IF(TbRegistrosSaida[[#This Row],[Data do Caixa Previsto]]="",0,MONTH(TbRegistrosSaida[[#This Row],[Data do Caixa Previsto]]))</f>
        <v>10</v>
      </c>
      <c r="N140" s="58">
        <f>IF(TbRegistrosSaida[[#This Row],[Data do Caixa Previsto]]="",0,YEAR(TbRegistrosSaida[[#This Row],[Data do Caixa Previsto]]))</f>
        <v>2018</v>
      </c>
      <c r="O14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1" spans="2:15" hidden="1" x14ac:dyDescent="0.25">
      <c r="B141" s="20">
        <v>43405.129639238316</v>
      </c>
      <c r="C141" s="20">
        <v>43358</v>
      </c>
      <c r="D141" s="20">
        <v>43405.129639238316</v>
      </c>
      <c r="E141" s="21" t="s">
        <v>16</v>
      </c>
      <c r="F141" s="21" t="s">
        <v>77</v>
      </c>
      <c r="G141" s="21" t="s">
        <v>443</v>
      </c>
      <c r="H141" s="25">
        <v>4944</v>
      </c>
      <c r="I141" s="21">
        <f>IF(TbRegistrosSaida[[#This Row],[Data do Caixa Realizado]]="",0,MONTH(TbRegistrosSaida[[#This Row],[Data do Caixa Realizado]]))</f>
        <v>11</v>
      </c>
      <c r="J141" s="21">
        <f>IF(TbRegistrosSaida[[#This Row],[Data do Caixa Realizado]]="",0,YEAR(TbRegistrosSaida[[#This Row],[Data do Caixa Realizado]]))</f>
        <v>2018</v>
      </c>
      <c r="K141" s="21">
        <f>IF(TbRegistrosSaida[[#This Row],[Data da Competência]]="",0,MONTH(TbRegistrosSaida[[#This Row],[Data da Competência]]))</f>
        <v>9</v>
      </c>
      <c r="L141" s="21">
        <f>IF(TbRegistrosSaida[[#This Row],[Data da Competência]]="",0,YEAR(TbRegistrosSaida[[#This Row],[Data da Competência]]))</f>
        <v>2018</v>
      </c>
      <c r="M141" s="57">
        <f>IF(TbRegistrosSaida[[#This Row],[Data do Caixa Previsto]]="",0,MONTH(TbRegistrosSaida[[#This Row],[Data do Caixa Previsto]]))</f>
        <v>11</v>
      </c>
      <c r="N141" s="58">
        <f>IF(TbRegistrosSaida[[#This Row],[Data do Caixa Previsto]]="",0,YEAR(TbRegistrosSaida[[#This Row],[Data do Caixa Previsto]]))</f>
        <v>2018</v>
      </c>
      <c r="O14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2" spans="2:15" hidden="1" x14ac:dyDescent="0.25">
      <c r="B142" s="20">
        <v>43377.659993656314</v>
      </c>
      <c r="C142" s="20">
        <v>43362</v>
      </c>
      <c r="D142" s="20">
        <v>43377.659993656314</v>
      </c>
      <c r="E142" s="21" t="s">
        <v>16</v>
      </c>
      <c r="F142" s="21" t="s">
        <v>49</v>
      </c>
      <c r="G142" s="21" t="s">
        <v>444</v>
      </c>
      <c r="H142" s="25">
        <v>4173</v>
      </c>
      <c r="I142" s="21">
        <f>IF(TbRegistrosSaida[[#This Row],[Data do Caixa Realizado]]="",0,MONTH(TbRegistrosSaida[[#This Row],[Data do Caixa Realizado]]))</f>
        <v>10</v>
      </c>
      <c r="J142" s="21">
        <f>IF(TbRegistrosSaida[[#This Row],[Data do Caixa Realizado]]="",0,YEAR(TbRegistrosSaida[[#This Row],[Data do Caixa Realizado]]))</f>
        <v>2018</v>
      </c>
      <c r="K142" s="21">
        <f>IF(TbRegistrosSaida[[#This Row],[Data da Competência]]="",0,MONTH(TbRegistrosSaida[[#This Row],[Data da Competência]]))</f>
        <v>9</v>
      </c>
      <c r="L142" s="21">
        <f>IF(TbRegistrosSaida[[#This Row],[Data da Competência]]="",0,YEAR(TbRegistrosSaida[[#This Row],[Data da Competência]]))</f>
        <v>2018</v>
      </c>
      <c r="M142" s="57">
        <f>IF(TbRegistrosSaida[[#This Row],[Data do Caixa Previsto]]="",0,MONTH(TbRegistrosSaida[[#This Row],[Data do Caixa Previsto]]))</f>
        <v>10</v>
      </c>
      <c r="N142" s="58">
        <f>IF(TbRegistrosSaida[[#This Row],[Data do Caixa Previsto]]="",0,YEAR(TbRegistrosSaida[[#This Row],[Data do Caixa Previsto]]))</f>
        <v>2018</v>
      </c>
      <c r="O14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3" spans="2:15" hidden="1" x14ac:dyDescent="0.25">
      <c r="B143" s="20">
        <v>43375.186046774324</v>
      </c>
      <c r="C143" s="20">
        <v>43367</v>
      </c>
      <c r="D143" s="20">
        <v>43375.186046774324</v>
      </c>
      <c r="E143" s="21" t="s">
        <v>16</v>
      </c>
      <c r="F143" s="21" t="s">
        <v>17</v>
      </c>
      <c r="G143" s="21" t="s">
        <v>445</v>
      </c>
      <c r="H143" s="25">
        <v>2065</v>
      </c>
      <c r="I143" s="21">
        <f>IF(TbRegistrosSaida[[#This Row],[Data do Caixa Realizado]]="",0,MONTH(TbRegistrosSaida[[#This Row],[Data do Caixa Realizado]]))</f>
        <v>10</v>
      </c>
      <c r="J143" s="21">
        <f>IF(TbRegistrosSaida[[#This Row],[Data do Caixa Realizado]]="",0,YEAR(TbRegistrosSaida[[#This Row],[Data do Caixa Realizado]]))</f>
        <v>2018</v>
      </c>
      <c r="K143" s="21">
        <f>IF(TbRegistrosSaida[[#This Row],[Data da Competência]]="",0,MONTH(TbRegistrosSaida[[#This Row],[Data da Competência]]))</f>
        <v>9</v>
      </c>
      <c r="L143" s="21">
        <f>IF(TbRegistrosSaida[[#This Row],[Data da Competência]]="",0,YEAR(TbRegistrosSaida[[#This Row],[Data da Competência]]))</f>
        <v>2018</v>
      </c>
      <c r="M143" s="57">
        <f>IF(TbRegistrosSaida[[#This Row],[Data do Caixa Previsto]]="",0,MONTH(TbRegistrosSaida[[#This Row],[Data do Caixa Previsto]]))</f>
        <v>10</v>
      </c>
      <c r="N143" s="58">
        <f>IF(TbRegistrosSaida[[#This Row],[Data do Caixa Previsto]]="",0,YEAR(TbRegistrosSaida[[#This Row],[Data do Caixa Previsto]]))</f>
        <v>2018</v>
      </c>
      <c r="O14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4" spans="2:15" hidden="1" x14ac:dyDescent="0.25">
      <c r="B144" s="20">
        <v>43422.470077078746</v>
      </c>
      <c r="C144" s="20">
        <v>43371</v>
      </c>
      <c r="D144" s="20">
        <v>43422.470077078746</v>
      </c>
      <c r="E144" s="21" t="s">
        <v>16</v>
      </c>
      <c r="F144" s="21" t="s">
        <v>3</v>
      </c>
      <c r="G144" s="21" t="s">
        <v>446</v>
      </c>
      <c r="H144" s="25">
        <v>521</v>
      </c>
      <c r="I144" s="21">
        <f>IF(TbRegistrosSaida[[#This Row],[Data do Caixa Realizado]]="",0,MONTH(TbRegistrosSaida[[#This Row],[Data do Caixa Realizado]]))</f>
        <v>11</v>
      </c>
      <c r="J144" s="21">
        <f>IF(TbRegistrosSaida[[#This Row],[Data do Caixa Realizado]]="",0,YEAR(TbRegistrosSaida[[#This Row],[Data do Caixa Realizado]]))</f>
        <v>2018</v>
      </c>
      <c r="K144" s="21">
        <f>IF(TbRegistrosSaida[[#This Row],[Data da Competência]]="",0,MONTH(TbRegistrosSaida[[#This Row],[Data da Competência]]))</f>
        <v>9</v>
      </c>
      <c r="L144" s="21">
        <f>IF(TbRegistrosSaida[[#This Row],[Data da Competência]]="",0,YEAR(TbRegistrosSaida[[#This Row],[Data da Competência]]))</f>
        <v>2018</v>
      </c>
      <c r="M144" s="57">
        <f>IF(TbRegistrosSaida[[#This Row],[Data do Caixa Previsto]]="",0,MONTH(TbRegistrosSaida[[#This Row],[Data do Caixa Previsto]]))</f>
        <v>11</v>
      </c>
      <c r="N144" s="58">
        <f>IF(TbRegistrosSaida[[#This Row],[Data do Caixa Previsto]]="",0,YEAR(TbRegistrosSaida[[#This Row],[Data do Caixa Previsto]]))</f>
        <v>2018</v>
      </c>
      <c r="O14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5" spans="2:15" hidden="1" x14ac:dyDescent="0.25">
      <c r="B145" s="20">
        <v>43417.82681558784</v>
      </c>
      <c r="C145" s="20">
        <v>43374</v>
      </c>
      <c r="D145" s="20">
        <v>43417.82681558784</v>
      </c>
      <c r="E145" s="21" t="s">
        <v>16</v>
      </c>
      <c r="F145" s="21" t="s">
        <v>3</v>
      </c>
      <c r="G145" s="21" t="s">
        <v>447</v>
      </c>
      <c r="H145" s="25">
        <v>819</v>
      </c>
      <c r="I145" s="21">
        <f>IF(TbRegistrosSaida[[#This Row],[Data do Caixa Realizado]]="",0,MONTH(TbRegistrosSaida[[#This Row],[Data do Caixa Realizado]]))</f>
        <v>11</v>
      </c>
      <c r="J145" s="21">
        <f>IF(TbRegistrosSaida[[#This Row],[Data do Caixa Realizado]]="",0,YEAR(TbRegistrosSaida[[#This Row],[Data do Caixa Realizado]]))</f>
        <v>2018</v>
      </c>
      <c r="K145" s="21">
        <f>IF(TbRegistrosSaida[[#This Row],[Data da Competência]]="",0,MONTH(TbRegistrosSaida[[#This Row],[Data da Competência]]))</f>
        <v>10</v>
      </c>
      <c r="L145" s="21">
        <f>IF(TbRegistrosSaida[[#This Row],[Data da Competência]]="",0,YEAR(TbRegistrosSaida[[#This Row],[Data da Competência]]))</f>
        <v>2018</v>
      </c>
      <c r="M145" s="57">
        <f>IF(TbRegistrosSaida[[#This Row],[Data do Caixa Previsto]]="",0,MONTH(TbRegistrosSaida[[#This Row],[Data do Caixa Previsto]]))</f>
        <v>11</v>
      </c>
      <c r="N145" s="58">
        <f>IF(TbRegistrosSaida[[#This Row],[Data do Caixa Previsto]]="",0,YEAR(TbRegistrosSaida[[#This Row],[Data do Caixa Previsto]]))</f>
        <v>2018</v>
      </c>
      <c r="O14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6" spans="2:15" hidden="1" x14ac:dyDescent="0.25">
      <c r="B146" s="20">
        <v>43433.158712252123</v>
      </c>
      <c r="C146" s="20">
        <v>43377</v>
      </c>
      <c r="D146" s="20">
        <v>43433.158712252123</v>
      </c>
      <c r="E146" s="21" t="s">
        <v>16</v>
      </c>
      <c r="F146" s="21" t="s">
        <v>49</v>
      </c>
      <c r="G146" s="21" t="s">
        <v>448</v>
      </c>
      <c r="H146" s="25">
        <v>1260</v>
      </c>
      <c r="I146" s="21">
        <f>IF(TbRegistrosSaida[[#This Row],[Data do Caixa Realizado]]="",0,MONTH(TbRegistrosSaida[[#This Row],[Data do Caixa Realizado]]))</f>
        <v>11</v>
      </c>
      <c r="J146" s="21">
        <f>IF(TbRegistrosSaida[[#This Row],[Data do Caixa Realizado]]="",0,YEAR(TbRegistrosSaida[[#This Row],[Data do Caixa Realizado]]))</f>
        <v>2018</v>
      </c>
      <c r="K146" s="21">
        <f>IF(TbRegistrosSaida[[#This Row],[Data da Competência]]="",0,MONTH(TbRegistrosSaida[[#This Row],[Data da Competência]]))</f>
        <v>10</v>
      </c>
      <c r="L146" s="21">
        <f>IF(TbRegistrosSaida[[#This Row],[Data da Competência]]="",0,YEAR(TbRegistrosSaida[[#This Row],[Data da Competência]]))</f>
        <v>2018</v>
      </c>
      <c r="M146" s="57">
        <f>IF(TbRegistrosSaida[[#This Row],[Data do Caixa Previsto]]="",0,MONTH(TbRegistrosSaida[[#This Row],[Data do Caixa Previsto]]))</f>
        <v>11</v>
      </c>
      <c r="N146" s="58">
        <f>IF(TbRegistrosSaida[[#This Row],[Data do Caixa Previsto]]="",0,YEAR(TbRegistrosSaida[[#This Row],[Data do Caixa Previsto]]))</f>
        <v>2018</v>
      </c>
      <c r="O146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7" spans="2:15" hidden="1" x14ac:dyDescent="0.25">
      <c r="B147" s="20">
        <v>43389.890057350683</v>
      </c>
      <c r="C147" s="20">
        <v>43383</v>
      </c>
      <c r="D147" s="20">
        <v>43389.890057350683</v>
      </c>
      <c r="E147" s="21" t="s">
        <v>16</v>
      </c>
      <c r="F147" s="21" t="s">
        <v>17</v>
      </c>
      <c r="G147" s="21" t="s">
        <v>449</v>
      </c>
      <c r="H147" s="25">
        <v>2998</v>
      </c>
      <c r="I147" s="21">
        <f>IF(TbRegistrosSaida[[#This Row],[Data do Caixa Realizado]]="",0,MONTH(TbRegistrosSaida[[#This Row],[Data do Caixa Realizado]]))</f>
        <v>10</v>
      </c>
      <c r="J147" s="21">
        <f>IF(TbRegistrosSaida[[#This Row],[Data do Caixa Realizado]]="",0,YEAR(TbRegistrosSaida[[#This Row],[Data do Caixa Realizado]]))</f>
        <v>2018</v>
      </c>
      <c r="K147" s="21">
        <f>IF(TbRegistrosSaida[[#This Row],[Data da Competência]]="",0,MONTH(TbRegistrosSaida[[#This Row],[Data da Competência]]))</f>
        <v>10</v>
      </c>
      <c r="L147" s="21">
        <f>IF(TbRegistrosSaida[[#This Row],[Data da Competência]]="",0,YEAR(TbRegistrosSaida[[#This Row],[Data da Competência]]))</f>
        <v>2018</v>
      </c>
      <c r="M147" s="57">
        <f>IF(TbRegistrosSaida[[#This Row],[Data do Caixa Previsto]]="",0,MONTH(TbRegistrosSaida[[#This Row],[Data do Caixa Previsto]]))</f>
        <v>10</v>
      </c>
      <c r="N147" s="58">
        <f>IF(TbRegistrosSaida[[#This Row],[Data do Caixa Previsto]]="",0,YEAR(TbRegistrosSaida[[#This Row],[Data do Caixa Previsto]]))</f>
        <v>2018</v>
      </c>
      <c r="O14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8" spans="2:15" hidden="1" x14ac:dyDescent="0.25">
      <c r="B148" s="20">
        <v>43404.046693214259</v>
      </c>
      <c r="C148" s="20">
        <v>43385</v>
      </c>
      <c r="D148" s="20">
        <v>43404.046693214259</v>
      </c>
      <c r="E148" s="21" t="s">
        <v>16</v>
      </c>
      <c r="F148" s="21" t="s">
        <v>17</v>
      </c>
      <c r="G148" s="21" t="s">
        <v>450</v>
      </c>
      <c r="H148" s="25">
        <v>4287</v>
      </c>
      <c r="I148" s="21">
        <f>IF(TbRegistrosSaida[[#This Row],[Data do Caixa Realizado]]="",0,MONTH(TbRegistrosSaida[[#This Row],[Data do Caixa Realizado]]))</f>
        <v>10</v>
      </c>
      <c r="J148" s="21">
        <f>IF(TbRegistrosSaida[[#This Row],[Data do Caixa Realizado]]="",0,YEAR(TbRegistrosSaida[[#This Row],[Data do Caixa Realizado]]))</f>
        <v>2018</v>
      </c>
      <c r="K148" s="21">
        <f>IF(TbRegistrosSaida[[#This Row],[Data da Competência]]="",0,MONTH(TbRegistrosSaida[[#This Row],[Data da Competência]]))</f>
        <v>10</v>
      </c>
      <c r="L148" s="21">
        <f>IF(TbRegistrosSaida[[#This Row],[Data da Competência]]="",0,YEAR(TbRegistrosSaida[[#This Row],[Data da Competência]]))</f>
        <v>2018</v>
      </c>
      <c r="M148" s="57">
        <f>IF(TbRegistrosSaida[[#This Row],[Data do Caixa Previsto]]="",0,MONTH(TbRegistrosSaida[[#This Row],[Data do Caixa Previsto]]))</f>
        <v>10</v>
      </c>
      <c r="N148" s="58">
        <f>IF(TbRegistrosSaida[[#This Row],[Data do Caixa Previsto]]="",0,YEAR(TbRegistrosSaida[[#This Row],[Data do Caixa Previsto]]))</f>
        <v>2018</v>
      </c>
      <c r="O14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9" spans="2:15" x14ac:dyDescent="0.25">
      <c r="B149" s="20">
        <v>43507.755970956488</v>
      </c>
      <c r="C149" s="20">
        <v>43387</v>
      </c>
      <c r="D149" s="20">
        <v>43428.148562697053</v>
      </c>
      <c r="E149" s="21" t="s">
        <v>16</v>
      </c>
      <c r="F149" s="21" t="s">
        <v>5</v>
      </c>
      <c r="G149" s="21" t="s">
        <v>451</v>
      </c>
      <c r="H149" s="25">
        <v>2015</v>
      </c>
      <c r="I149" s="21">
        <f>IF(TbRegistrosSaida[[#This Row],[Data do Caixa Realizado]]="",0,MONTH(TbRegistrosSaida[[#This Row],[Data do Caixa Realizado]]))</f>
        <v>2</v>
      </c>
      <c r="J149" s="21">
        <f>IF(TbRegistrosSaida[[#This Row],[Data do Caixa Realizado]]="",0,YEAR(TbRegistrosSaida[[#This Row],[Data do Caixa Realizado]]))</f>
        <v>2019</v>
      </c>
      <c r="K149" s="21">
        <f>IF(TbRegistrosSaida[[#This Row],[Data da Competência]]="",0,MONTH(TbRegistrosSaida[[#This Row],[Data da Competência]]))</f>
        <v>10</v>
      </c>
      <c r="L149" s="21">
        <f>IF(TbRegistrosSaida[[#This Row],[Data da Competência]]="",0,YEAR(TbRegistrosSaida[[#This Row],[Data da Competência]]))</f>
        <v>2018</v>
      </c>
      <c r="M149" s="57">
        <f>IF(TbRegistrosSaida[[#This Row],[Data do Caixa Previsto]]="",0,MONTH(TbRegistrosSaida[[#This Row],[Data do Caixa Previsto]]))</f>
        <v>11</v>
      </c>
      <c r="N149" s="58">
        <f>IF(TbRegistrosSaida[[#This Row],[Data do Caixa Previsto]]="",0,YEAR(TbRegistrosSaida[[#This Row],[Data do Caixa Previsto]]))</f>
        <v>2018</v>
      </c>
      <c r="O149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79.607408259435033</v>
      </c>
    </row>
    <row r="150" spans="2:15" hidden="1" x14ac:dyDescent="0.25">
      <c r="B150" s="20">
        <v>43449.211879770926</v>
      </c>
      <c r="C150" s="20">
        <v>43393</v>
      </c>
      <c r="D150" s="20">
        <v>43449.211879770926</v>
      </c>
      <c r="E150" s="21" t="s">
        <v>16</v>
      </c>
      <c r="F150" s="21" t="s">
        <v>5</v>
      </c>
      <c r="G150" s="21" t="s">
        <v>452</v>
      </c>
      <c r="H150" s="25">
        <v>3369</v>
      </c>
      <c r="I150" s="21">
        <f>IF(TbRegistrosSaida[[#This Row],[Data do Caixa Realizado]]="",0,MONTH(TbRegistrosSaida[[#This Row],[Data do Caixa Realizado]]))</f>
        <v>12</v>
      </c>
      <c r="J150" s="21">
        <f>IF(TbRegistrosSaida[[#This Row],[Data do Caixa Realizado]]="",0,YEAR(TbRegistrosSaida[[#This Row],[Data do Caixa Realizado]]))</f>
        <v>2018</v>
      </c>
      <c r="K150" s="21">
        <f>IF(TbRegistrosSaida[[#This Row],[Data da Competência]]="",0,MONTH(TbRegistrosSaida[[#This Row],[Data da Competência]]))</f>
        <v>10</v>
      </c>
      <c r="L150" s="21">
        <f>IF(TbRegistrosSaida[[#This Row],[Data da Competência]]="",0,YEAR(TbRegistrosSaida[[#This Row],[Data da Competência]]))</f>
        <v>2018</v>
      </c>
      <c r="M150" s="57">
        <f>IF(TbRegistrosSaida[[#This Row],[Data do Caixa Previsto]]="",0,MONTH(TbRegistrosSaida[[#This Row],[Data do Caixa Previsto]]))</f>
        <v>12</v>
      </c>
      <c r="N150" s="58">
        <f>IF(TbRegistrosSaida[[#This Row],[Data do Caixa Previsto]]="",0,YEAR(TbRegistrosSaida[[#This Row],[Data do Caixa Previsto]]))</f>
        <v>2018</v>
      </c>
      <c r="O15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1" spans="2:15" hidden="1" x14ac:dyDescent="0.25">
      <c r="B151" s="20">
        <v>43404.811332468627</v>
      </c>
      <c r="C151" s="20">
        <v>43394</v>
      </c>
      <c r="D151" s="20">
        <v>43404.811332468627</v>
      </c>
      <c r="E151" s="21" t="s">
        <v>16</v>
      </c>
      <c r="F151" s="21" t="s">
        <v>77</v>
      </c>
      <c r="G151" s="21" t="s">
        <v>453</v>
      </c>
      <c r="H151" s="25">
        <v>4851</v>
      </c>
      <c r="I151" s="21">
        <f>IF(TbRegistrosSaida[[#This Row],[Data do Caixa Realizado]]="",0,MONTH(TbRegistrosSaida[[#This Row],[Data do Caixa Realizado]]))</f>
        <v>10</v>
      </c>
      <c r="J151" s="21">
        <f>IF(TbRegistrosSaida[[#This Row],[Data do Caixa Realizado]]="",0,YEAR(TbRegistrosSaida[[#This Row],[Data do Caixa Realizado]]))</f>
        <v>2018</v>
      </c>
      <c r="K151" s="21">
        <f>IF(TbRegistrosSaida[[#This Row],[Data da Competência]]="",0,MONTH(TbRegistrosSaida[[#This Row],[Data da Competência]]))</f>
        <v>10</v>
      </c>
      <c r="L151" s="21">
        <f>IF(TbRegistrosSaida[[#This Row],[Data da Competência]]="",0,YEAR(TbRegistrosSaida[[#This Row],[Data da Competência]]))</f>
        <v>2018</v>
      </c>
      <c r="M151" s="57">
        <f>IF(TbRegistrosSaida[[#This Row],[Data do Caixa Previsto]]="",0,MONTH(TbRegistrosSaida[[#This Row],[Data do Caixa Previsto]]))</f>
        <v>10</v>
      </c>
      <c r="N151" s="58">
        <f>IF(TbRegistrosSaida[[#This Row],[Data do Caixa Previsto]]="",0,YEAR(TbRegistrosSaida[[#This Row],[Data do Caixa Previsto]]))</f>
        <v>2018</v>
      </c>
      <c r="O15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2" spans="2:15" hidden="1" x14ac:dyDescent="0.25">
      <c r="B152" s="20">
        <v>43456.031618147535</v>
      </c>
      <c r="C152" s="20">
        <v>43398</v>
      </c>
      <c r="D152" s="20">
        <v>43449.013472196442</v>
      </c>
      <c r="E152" s="21" t="s">
        <v>16</v>
      </c>
      <c r="F152" s="21" t="s">
        <v>77</v>
      </c>
      <c r="G152" s="21" t="s">
        <v>454</v>
      </c>
      <c r="H152" s="25">
        <v>2178</v>
      </c>
      <c r="I152" s="21">
        <f>IF(TbRegistrosSaida[[#This Row],[Data do Caixa Realizado]]="",0,MONTH(TbRegistrosSaida[[#This Row],[Data do Caixa Realizado]]))</f>
        <v>12</v>
      </c>
      <c r="J152" s="21">
        <f>IF(TbRegistrosSaida[[#This Row],[Data do Caixa Realizado]]="",0,YEAR(TbRegistrosSaida[[#This Row],[Data do Caixa Realizado]]))</f>
        <v>2018</v>
      </c>
      <c r="K152" s="21">
        <f>IF(TbRegistrosSaida[[#This Row],[Data da Competência]]="",0,MONTH(TbRegistrosSaida[[#This Row],[Data da Competência]]))</f>
        <v>10</v>
      </c>
      <c r="L152" s="21">
        <f>IF(TbRegistrosSaida[[#This Row],[Data da Competência]]="",0,YEAR(TbRegistrosSaida[[#This Row],[Data da Competência]]))</f>
        <v>2018</v>
      </c>
      <c r="M152" s="57">
        <f>IF(TbRegistrosSaida[[#This Row],[Data do Caixa Previsto]]="",0,MONTH(TbRegistrosSaida[[#This Row],[Data do Caixa Previsto]]))</f>
        <v>12</v>
      </c>
      <c r="N152" s="58">
        <f>IF(TbRegistrosSaida[[#This Row],[Data do Caixa Previsto]]="",0,YEAR(TbRegistrosSaida[[#This Row],[Data do Caixa Previsto]]))</f>
        <v>2018</v>
      </c>
      <c r="O15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7.0181459510931745</v>
      </c>
    </row>
    <row r="153" spans="2:15" hidden="1" x14ac:dyDescent="0.25">
      <c r="B153" s="20">
        <v>43424.062053727328</v>
      </c>
      <c r="C153" s="20">
        <v>43400</v>
      </c>
      <c r="D153" s="20">
        <v>43424.062053727328</v>
      </c>
      <c r="E153" s="21" t="s">
        <v>16</v>
      </c>
      <c r="F153" s="21" t="s">
        <v>5</v>
      </c>
      <c r="G153" s="21" t="s">
        <v>455</v>
      </c>
      <c r="H153" s="25">
        <v>4052</v>
      </c>
      <c r="I153" s="21">
        <f>IF(TbRegistrosSaida[[#This Row],[Data do Caixa Realizado]]="",0,MONTH(TbRegistrosSaida[[#This Row],[Data do Caixa Realizado]]))</f>
        <v>11</v>
      </c>
      <c r="J153" s="21">
        <f>IF(TbRegistrosSaida[[#This Row],[Data do Caixa Realizado]]="",0,YEAR(TbRegistrosSaida[[#This Row],[Data do Caixa Realizado]]))</f>
        <v>2018</v>
      </c>
      <c r="K153" s="21">
        <f>IF(TbRegistrosSaida[[#This Row],[Data da Competência]]="",0,MONTH(TbRegistrosSaida[[#This Row],[Data da Competência]]))</f>
        <v>10</v>
      </c>
      <c r="L153" s="21">
        <f>IF(TbRegistrosSaida[[#This Row],[Data da Competência]]="",0,YEAR(TbRegistrosSaida[[#This Row],[Data da Competência]]))</f>
        <v>2018</v>
      </c>
      <c r="M153" s="57">
        <f>IF(TbRegistrosSaida[[#This Row],[Data do Caixa Previsto]]="",0,MONTH(TbRegistrosSaida[[#This Row],[Data do Caixa Previsto]]))</f>
        <v>11</v>
      </c>
      <c r="N153" s="58">
        <f>IF(TbRegistrosSaida[[#This Row],[Data do Caixa Previsto]]="",0,YEAR(TbRegistrosSaida[[#This Row],[Data do Caixa Previsto]]))</f>
        <v>2018</v>
      </c>
      <c r="O15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4" spans="2:15" hidden="1" x14ac:dyDescent="0.25">
      <c r="B154" s="20">
        <v>43420.587272347206</v>
      </c>
      <c r="C154" s="20">
        <v>43403</v>
      </c>
      <c r="D154" s="20">
        <v>43420.587272347206</v>
      </c>
      <c r="E154" s="21" t="s">
        <v>16</v>
      </c>
      <c r="F154" s="21" t="s">
        <v>17</v>
      </c>
      <c r="G154" s="21" t="s">
        <v>456</v>
      </c>
      <c r="H154" s="25">
        <v>2864</v>
      </c>
      <c r="I154" s="21">
        <f>IF(TbRegistrosSaida[[#This Row],[Data do Caixa Realizado]]="",0,MONTH(TbRegistrosSaida[[#This Row],[Data do Caixa Realizado]]))</f>
        <v>11</v>
      </c>
      <c r="J154" s="21">
        <f>IF(TbRegistrosSaida[[#This Row],[Data do Caixa Realizado]]="",0,YEAR(TbRegistrosSaida[[#This Row],[Data do Caixa Realizado]]))</f>
        <v>2018</v>
      </c>
      <c r="K154" s="21">
        <f>IF(TbRegistrosSaida[[#This Row],[Data da Competência]]="",0,MONTH(TbRegistrosSaida[[#This Row],[Data da Competência]]))</f>
        <v>10</v>
      </c>
      <c r="L154" s="21">
        <f>IF(TbRegistrosSaida[[#This Row],[Data da Competência]]="",0,YEAR(TbRegistrosSaida[[#This Row],[Data da Competência]]))</f>
        <v>2018</v>
      </c>
      <c r="M154" s="57">
        <f>IF(TbRegistrosSaida[[#This Row],[Data do Caixa Previsto]]="",0,MONTH(TbRegistrosSaida[[#This Row],[Data do Caixa Previsto]]))</f>
        <v>11</v>
      </c>
      <c r="N154" s="58">
        <f>IF(TbRegistrosSaida[[#This Row],[Data do Caixa Previsto]]="",0,YEAR(TbRegistrosSaida[[#This Row],[Data do Caixa Previsto]]))</f>
        <v>2018</v>
      </c>
      <c r="O154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5" spans="2:15" hidden="1" x14ac:dyDescent="0.25">
      <c r="B155" s="20">
        <v>43461.891878681301</v>
      </c>
      <c r="C155" s="20">
        <v>43405</v>
      </c>
      <c r="D155" s="20">
        <v>43461.891878681301</v>
      </c>
      <c r="E155" s="21" t="s">
        <v>16</v>
      </c>
      <c r="F155" s="21" t="s">
        <v>77</v>
      </c>
      <c r="G155" s="21" t="s">
        <v>457</v>
      </c>
      <c r="H155" s="25">
        <v>2425</v>
      </c>
      <c r="I155" s="21">
        <f>IF(TbRegistrosSaida[[#This Row],[Data do Caixa Realizado]]="",0,MONTH(TbRegistrosSaida[[#This Row],[Data do Caixa Realizado]]))</f>
        <v>12</v>
      </c>
      <c r="J155" s="21">
        <f>IF(TbRegistrosSaida[[#This Row],[Data do Caixa Realizado]]="",0,YEAR(TbRegistrosSaida[[#This Row],[Data do Caixa Realizado]]))</f>
        <v>2018</v>
      </c>
      <c r="K155" s="21">
        <f>IF(TbRegistrosSaida[[#This Row],[Data da Competência]]="",0,MONTH(TbRegistrosSaida[[#This Row],[Data da Competência]]))</f>
        <v>11</v>
      </c>
      <c r="L155" s="21">
        <f>IF(TbRegistrosSaida[[#This Row],[Data da Competência]]="",0,YEAR(TbRegistrosSaida[[#This Row],[Data da Competência]]))</f>
        <v>2018</v>
      </c>
      <c r="M155" s="57">
        <f>IF(TbRegistrosSaida[[#This Row],[Data do Caixa Previsto]]="",0,MONTH(TbRegistrosSaida[[#This Row],[Data do Caixa Previsto]]))</f>
        <v>12</v>
      </c>
      <c r="N155" s="58">
        <f>IF(TbRegistrosSaida[[#This Row],[Data do Caixa Previsto]]="",0,YEAR(TbRegistrosSaida[[#This Row],[Data do Caixa Previsto]]))</f>
        <v>2018</v>
      </c>
      <c r="O15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6" spans="2:15" x14ac:dyDescent="0.25">
      <c r="B156" s="20">
        <v>43491.131651867006</v>
      </c>
      <c r="C156" s="20">
        <v>43407</v>
      </c>
      <c r="D156" s="20">
        <v>43466.552162254069</v>
      </c>
      <c r="E156" s="21" t="s">
        <v>16</v>
      </c>
      <c r="F156" s="21" t="s">
        <v>17</v>
      </c>
      <c r="G156" s="21" t="s">
        <v>375</v>
      </c>
      <c r="H156" s="25">
        <v>1542</v>
      </c>
      <c r="I156" s="21">
        <f>IF(TbRegistrosSaida[[#This Row],[Data do Caixa Realizado]]="",0,MONTH(TbRegistrosSaida[[#This Row],[Data do Caixa Realizado]]))</f>
        <v>1</v>
      </c>
      <c r="J156" s="21">
        <f>IF(TbRegistrosSaida[[#This Row],[Data do Caixa Realizado]]="",0,YEAR(TbRegistrosSaida[[#This Row],[Data do Caixa Realizado]]))</f>
        <v>2019</v>
      </c>
      <c r="K156" s="21">
        <f>IF(TbRegistrosSaida[[#This Row],[Data da Competência]]="",0,MONTH(TbRegistrosSaida[[#This Row],[Data da Competência]]))</f>
        <v>11</v>
      </c>
      <c r="L156" s="21">
        <f>IF(TbRegistrosSaida[[#This Row],[Data da Competência]]="",0,YEAR(TbRegistrosSaida[[#This Row],[Data da Competência]]))</f>
        <v>2018</v>
      </c>
      <c r="M156" s="57">
        <f>IF(TbRegistrosSaida[[#This Row],[Data do Caixa Previsto]]="",0,MONTH(TbRegistrosSaida[[#This Row],[Data do Caixa Previsto]]))</f>
        <v>1</v>
      </c>
      <c r="N156" s="58">
        <f>IF(TbRegistrosSaida[[#This Row],[Data do Caixa Previsto]]="",0,YEAR(TbRegistrosSaida[[#This Row],[Data do Caixa Previsto]]))</f>
        <v>2019</v>
      </c>
      <c r="O156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24.579489612937323</v>
      </c>
    </row>
    <row r="157" spans="2:15" hidden="1" x14ac:dyDescent="0.25">
      <c r="B157" s="20">
        <v>43446.7351960983</v>
      </c>
      <c r="C157" s="20">
        <v>43412</v>
      </c>
      <c r="D157" s="20">
        <v>43446.7351960983</v>
      </c>
      <c r="E157" s="21" t="s">
        <v>16</v>
      </c>
      <c r="F157" s="21" t="s">
        <v>77</v>
      </c>
      <c r="G157" s="21" t="s">
        <v>458</v>
      </c>
      <c r="H157" s="25">
        <v>1736</v>
      </c>
      <c r="I157" s="21">
        <f>IF(TbRegistrosSaida[[#This Row],[Data do Caixa Realizado]]="",0,MONTH(TbRegistrosSaida[[#This Row],[Data do Caixa Realizado]]))</f>
        <v>12</v>
      </c>
      <c r="J157" s="21">
        <f>IF(TbRegistrosSaida[[#This Row],[Data do Caixa Realizado]]="",0,YEAR(TbRegistrosSaida[[#This Row],[Data do Caixa Realizado]]))</f>
        <v>2018</v>
      </c>
      <c r="K157" s="21">
        <f>IF(TbRegistrosSaida[[#This Row],[Data da Competência]]="",0,MONTH(TbRegistrosSaida[[#This Row],[Data da Competência]]))</f>
        <v>11</v>
      </c>
      <c r="L157" s="21">
        <f>IF(TbRegistrosSaida[[#This Row],[Data da Competência]]="",0,YEAR(TbRegistrosSaida[[#This Row],[Data da Competência]]))</f>
        <v>2018</v>
      </c>
      <c r="M157" s="57">
        <f>IF(TbRegistrosSaida[[#This Row],[Data do Caixa Previsto]]="",0,MONTH(TbRegistrosSaida[[#This Row],[Data do Caixa Previsto]]))</f>
        <v>12</v>
      </c>
      <c r="N157" s="58">
        <f>IF(TbRegistrosSaida[[#This Row],[Data do Caixa Previsto]]="",0,YEAR(TbRegistrosSaida[[#This Row],[Data do Caixa Previsto]]))</f>
        <v>2018</v>
      </c>
      <c r="O15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8" spans="2:15" x14ac:dyDescent="0.25">
      <c r="B158" s="20">
        <v>43474.679630611819</v>
      </c>
      <c r="C158" s="20">
        <v>43415</v>
      </c>
      <c r="D158" s="20">
        <v>43474.679630611819</v>
      </c>
      <c r="E158" s="21" t="s">
        <v>16</v>
      </c>
      <c r="F158" s="21" t="s">
        <v>3</v>
      </c>
      <c r="G158" s="21" t="s">
        <v>459</v>
      </c>
      <c r="H158" s="25">
        <v>1628</v>
      </c>
      <c r="I158" s="21">
        <f>IF(TbRegistrosSaida[[#This Row],[Data do Caixa Realizado]]="",0,MONTH(TbRegistrosSaida[[#This Row],[Data do Caixa Realizado]]))</f>
        <v>1</v>
      </c>
      <c r="J158" s="21">
        <f>IF(TbRegistrosSaida[[#This Row],[Data do Caixa Realizado]]="",0,YEAR(TbRegistrosSaida[[#This Row],[Data do Caixa Realizado]]))</f>
        <v>2019</v>
      </c>
      <c r="K158" s="21">
        <f>IF(TbRegistrosSaida[[#This Row],[Data da Competência]]="",0,MONTH(TbRegistrosSaida[[#This Row],[Data da Competência]]))</f>
        <v>11</v>
      </c>
      <c r="L158" s="21">
        <f>IF(TbRegistrosSaida[[#This Row],[Data da Competência]]="",0,YEAR(TbRegistrosSaida[[#This Row],[Data da Competência]]))</f>
        <v>2018</v>
      </c>
      <c r="M158" s="57">
        <f>IF(TbRegistrosSaida[[#This Row],[Data do Caixa Previsto]]="",0,MONTH(TbRegistrosSaida[[#This Row],[Data do Caixa Previsto]]))</f>
        <v>1</v>
      </c>
      <c r="N158" s="58">
        <f>IF(TbRegistrosSaida[[#This Row],[Data do Caixa Previsto]]="",0,YEAR(TbRegistrosSaida[[#This Row],[Data do Caixa Previsto]]))</f>
        <v>2019</v>
      </c>
      <c r="O158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9" spans="2:15" hidden="1" x14ac:dyDescent="0.25">
      <c r="B159" s="20">
        <v>43420.10775852378</v>
      </c>
      <c r="C159" s="20">
        <v>43417</v>
      </c>
      <c r="D159" s="20">
        <v>43420.10775852378</v>
      </c>
      <c r="E159" s="21" t="s">
        <v>16</v>
      </c>
      <c r="F159" s="21" t="s">
        <v>77</v>
      </c>
      <c r="G159" s="21" t="s">
        <v>460</v>
      </c>
      <c r="H159" s="25">
        <v>3853</v>
      </c>
      <c r="I159" s="21">
        <f>IF(TbRegistrosSaida[[#This Row],[Data do Caixa Realizado]]="",0,MONTH(TbRegistrosSaida[[#This Row],[Data do Caixa Realizado]]))</f>
        <v>11</v>
      </c>
      <c r="J159" s="21">
        <f>IF(TbRegistrosSaida[[#This Row],[Data do Caixa Realizado]]="",0,YEAR(TbRegistrosSaida[[#This Row],[Data do Caixa Realizado]]))</f>
        <v>2018</v>
      </c>
      <c r="K159" s="21">
        <f>IF(TbRegistrosSaida[[#This Row],[Data da Competência]]="",0,MONTH(TbRegistrosSaida[[#This Row],[Data da Competência]]))</f>
        <v>11</v>
      </c>
      <c r="L159" s="21">
        <f>IF(TbRegistrosSaida[[#This Row],[Data da Competência]]="",0,YEAR(TbRegistrosSaida[[#This Row],[Data da Competência]]))</f>
        <v>2018</v>
      </c>
      <c r="M159" s="57">
        <f>IF(TbRegistrosSaida[[#This Row],[Data do Caixa Previsto]]="",0,MONTH(TbRegistrosSaida[[#This Row],[Data do Caixa Previsto]]))</f>
        <v>11</v>
      </c>
      <c r="N159" s="58">
        <f>IF(TbRegistrosSaida[[#This Row],[Data do Caixa Previsto]]="",0,YEAR(TbRegistrosSaida[[#This Row],[Data do Caixa Previsto]]))</f>
        <v>2018</v>
      </c>
      <c r="O15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0" spans="2:15" hidden="1" x14ac:dyDescent="0.25">
      <c r="B160" s="20">
        <v>43451.20401159949</v>
      </c>
      <c r="C160" s="20">
        <v>43421</v>
      </c>
      <c r="D160" s="20">
        <v>43451.20401159949</v>
      </c>
      <c r="E160" s="21" t="s">
        <v>16</v>
      </c>
      <c r="F160" s="21" t="s">
        <v>3</v>
      </c>
      <c r="G160" s="21" t="s">
        <v>461</v>
      </c>
      <c r="H160" s="25">
        <v>883</v>
      </c>
      <c r="I160" s="21">
        <f>IF(TbRegistrosSaida[[#This Row],[Data do Caixa Realizado]]="",0,MONTH(TbRegistrosSaida[[#This Row],[Data do Caixa Realizado]]))</f>
        <v>12</v>
      </c>
      <c r="J160" s="21">
        <f>IF(TbRegistrosSaida[[#This Row],[Data do Caixa Realizado]]="",0,YEAR(TbRegistrosSaida[[#This Row],[Data do Caixa Realizado]]))</f>
        <v>2018</v>
      </c>
      <c r="K160" s="21">
        <f>IF(TbRegistrosSaida[[#This Row],[Data da Competência]]="",0,MONTH(TbRegistrosSaida[[#This Row],[Data da Competência]]))</f>
        <v>11</v>
      </c>
      <c r="L160" s="21">
        <f>IF(TbRegistrosSaida[[#This Row],[Data da Competência]]="",0,YEAR(TbRegistrosSaida[[#This Row],[Data da Competência]]))</f>
        <v>2018</v>
      </c>
      <c r="M160" s="57">
        <f>IF(TbRegistrosSaida[[#This Row],[Data do Caixa Previsto]]="",0,MONTH(TbRegistrosSaida[[#This Row],[Data do Caixa Previsto]]))</f>
        <v>12</v>
      </c>
      <c r="N160" s="58">
        <f>IF(TbRegistrosSaida[[#This Row],[Data do Caixa Previsto]]="",0,YEAR(TbRegistrosSaida[[#This Row],[Data do Caixa Previsto]]))</f>
        <v>2018</v>
      </c>
      <c r="O160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1" spans="2:15" hidden="1" x14ac:dyDescent="0.25">
      <c r="B161" s="20">
        <v>43441.762171101494</v>
      </c>
      <c r="C161" s="20">
        <v>43421</v>
      </c>
      <c r="D161" s="20">
        <v>43441.762171101494</v>
      </c>
      <c r="E161" s="21" t="s">
        <v>16</v>
      </c>
      <c r="F161" s="21" t="s">
        <v>77</v>
      </c>
      <c r="G161" s="21" t="s">
        <v>462</v>
      </c>
      <c r="H161" s="25">
        <v>976</v>
      </c>
      <c r="I161" s="21">
        <f>IF(TbRegistrosSaida[[#This Row],[Data do Caixa Realizado]]="",0,MONTH(TbRegistrosSaida[[#This Row],[Data do Caixa Realizado]]))</f>
        <v>12</v>
      </c>
      <c r="J161" s="21">
        <f>IF(TbRegistrosSaida[[#This Row],[Data do Caixa Realizado]]="",0,YEAR(TbRegistrosSaida[[#This Row],[Data do Caixa Realizado]]))</f>
        <v>2018</v>
      </c>
      <c r="K161" s="21">
        <f>IF(TbRegistrosSaida[[#This Row],[Data da Competência]]="",0,MONTH(TbRegistrosSaida[[#This Row],[Data da Competência]]))</f>
        <v>11</v>
      </c>
      <c r="L161" s="21">
        <f>IF(TbRegistrosSaida[[#This Row],[Data da Competência]]="",0,YEAR(TbRegistrosSaida[[#This Row],[Data da Competência]]))</f>
        <v>2018</v>
      </c>
      <c r="M161" s="57">
        <f>IF(TbRegistrosSaida[[#This Row],[Data do Caixa Previsto]]="",0,MONTH(TbRegistrosSaida[[#This Row],[Data do Caixa Previsto]]))</f>
        <v>12</v>
      </c>
      <c r="N161" s="58">
        <f>IF(TbRegistrosSaida[[#This Row],[Data do Caixa Previsto]]="",0,YEAR(TbRegistrosSaida[[#This Row],[Data do Caixa Previsto]]))</f>
        <v>2018</v>
      </c>
      <c r="O16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2" spans="2:15" hidden="1" x14ac:dyDescent="0.25">
      <c r="B162" s="20">
        <v>43465.942395888327</v>
      </c>
      <c r="C162" s="20">
        <v>43424</v>
      </c>
      <c r="D162" s="20">
        <v>43465.942395888327</v>
      </c>
      <c r="E162" s="21" t="s">
        <v>16</v>
      </c>
      <c r="F162" s="21" t="s">
        <v>3</v>
      </c>
      <c r="G162" s="21" t="s">
        <v>463</v>
      </c>
      <c r="H162" s="25">
        <v>2663</v>
      </c>
      <c r="I162" s="21">
        <f>IF(TbRegistrosSaida[[#This Row],[Data do Caixa Realizado]]="",0,MONTH(TbRegistrosSaida[[#This Row],[Data do Caixa Realizado]]))</f>
        <v>12</v>
      </c>
      <c r="J162" s="21">
        <f>IF(TbRegistrosSaida[[#This Row],[Data do Caixa Realizado]]="",0,YEAR(TbRegistrosSaida[[#This Row],[Data do Caixa Realizado]]))</f>
        <v>2018</v>
      </c>
      <c r="K162" s="21">
        <f>IF(TbRegistrosSaida[[#This Row],[Data da Competência]]="",0,MONTH(TbRegistrosSaida[[#This Row],[Data da Competência]]))</f>
        <v>11</v>
      </c>
      <c r="L162" s="21">
        <f>IF(TbRegistrosSaida[[#This Row],[Data da Competência]]="",0,YEAR(TbRegistrosSaida[[#This Row],[Data da Competência]]))</f>
        <v>2018</v>
      </c>
      <c r="M162" s="57">
        <f>IF(TbRegistrosSaida[[#This Row],[Data do Caixa Previsto]]="",0,MONTH(TbRegistrosSaida[[#This Row],[Data do Caixa Previsto]]))</f>
        <v>12</v>
      </c>
      <c r="N162" s="58">
        <f>IF(TbRegistrosSaida[[#This Row],[Data do Caixa Previsto]]="",0,YEAR(TbRegistrosSaida[[#This Row],[Data do Caixa Previsto]]))</f>
        <v>2018</v>
      </c>
      <c r="O162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3" spans="2:15" hidden="1" x14ac:dyDescent="0.25">
      <c r="B163" s="20">
        <v>43430.953637786966</v>
      </c>
      <c r="C163" s="20">
        <v>43430</v>
      </c>
      <c r="D163" s="20">
        <v>43430.953637786966</v>
      </c>
      <c r="E163" s="21" t="s">
        <v>16</v>
      </c>
      <c r="F163" s="21" t="s">
        <v>77</v>
      </c>
      <c r="G163" s="21" t="s">
        <v>464</v>
      </c>
      <c r="H163" s="25">
        <v>4888</v>
      </c>
      <c r="I163" s="21">
        <f>IF(TbRegistrosSaida[[#This Row],[Data do Caixa Realizado]]="",0,MONTH(TbRegistrosSaida[[#This Row],[Data do Caixa Realizado]]))</f>
        <v>11</v>
      </c>
      <c r="J163" s="21">
        <f>IF(TbRegistrosSaida[[#This Row],[Data do Caixa Realizado]]="",0,YEAR(TbRegistrosSaida[[#This Row],[Data do Caixa Realizado]]))</f>
        <v>2018</v>
      </c>
      <c r="K163" s="21">
        <f>IF(TbRegistrosSaida[[#This Row],[Data da Competência]]="",0,MONTH(TbRegistrosSaida[[#This Row],[Data da Competência]]))</f>
        <v>11</v>
      </c>
      <c r="L163" s="21">
        <f>IF(TbRegistrosSaida[[#This Row],[Data da Competência]]="",0,YEAR(TbRegistrosSaida[[#This Row],[Data da Competência]]))</f>
        <v>2018</v>
      </c>
      <c r="M163" s="57">
        <f>IF(TbRegistrosSaida[[#This Row],[Data do Caixa Previsto]]="",0,MONTH(TbRegistrosSaida[[#This Row],[Data do Caixa Previsto]]))</f>
        <v>11</v>
      </c>
      <c r="N163" s="58">
        <f>IF(TbRegistrosSaida[[#This Row],[Data do Caixa Previsto]]="",0,YEAR(TbRegistrosSaida[[#This Row],[Data do Caixa Previsto]]))</f>
        <v>2018</v>
      </c>
      <c r="O163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4" spans="2:15" x14ac:dyDescent="0.25">
      <c r="B164" s="20">
        <v>43517.76387190332</v>
      </c>
      <c r="C164" s="20">
        <v>43433</v>
      </c>
      <c r="D164" s="20">
        <v>43478.804327652433</v>
      </c>
      <c r="E164" s="21" t="s">
        <v>16</v>
      </c>
      <c r="F164" s="21" t="s">
        <v>3</v>
      </c>
      <c r="G164" s="21" t="s">
        <v>465</v>
      </c>
      <c r="H164" s="25">
        <v>2030</v>
      </c>
      <c r="I164" s="21">
        <f>IF(TbRegistrosSaida[[#This Row],[Data do Caixa Realizado]]="",0,MONTH(TbRegistrosSaida[[#This Row],[Data do Caixa Realizado]]))</f>
        <v>2</v>
      </c>
      <c r="J164" s="21">
        <f>IF(TbRegistrosSaida[[#This Row],[Data do Caixa Realizado]]="",0,YEAR(TbRegistrosSaida[[#This Row],[Data do Caixa Realizado]]))</f>
        <v>2019</v>
      </c>
      <c r="K164" s="21">
        <f>IF(TbRegistrosSaida[[#This Row],[Data da Competência]]="",0,MONTH(TbRegistrosSaida[[#This Row],[Data da Competência]]))</f>
        <v>11</v>
      </c>
      <c r="L164" s="21">
        <f>IF(TbRegistrosSaida[[#This Row],[Data da Competência]]="",0,YEAR(TbRegistrosSaida[[#This Row],[Data da Competência]]))</f>
        <v>2018</v>
      </c>
      <c r="M164" s="57">
        <f>IF(TbRegistrosSaida[[#This Row],[Data do Caixa Previsto]]="",0,MONTH(TbRegistrosSaida[[#This Row],[Data do Caixa Previsto]]))</f>
        <v>1</v>
      </c>
      <c r="N164" s="58">
        <f>IF(TbRegistrosSaida[[#This Row],[Data do Caixa Previsto]]="",0,YEAR(TbRegistrosSaida[[#This Row],[Data do Caixa Previsto]]))</f>
        <v>2019</v>
      </c>
      <c r="O164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38.95954425088712</v>
      </c>
    </row>
    <row r="165" spans="2:15" hidden="1" x14ac:dyDescent="0.25">
      <c r="B165" s="20" t="s">
        <v>92</v>
      </c>
      <c r="C165" s="20">
        <v>43436</v>
      </c>
      <c r="D165" s="20">
        <v>43485.820929970221</v>
      </c>
      <c r="E165" s="21" t="s">
        <v>16</v>
      </c>
      <c r="F165" s="21" t="s">
        <v>77</v>
      </c>
      <c r="G165" s="21" t="s">
        <v>466</v>
      </c>
      <c r="H165" s="25">
        <v>2117</v>
      </c>
      <c r="I165" s="21">
        <f>IF(TbRegistrosSaida[[#This Row],[Data do Caixa Realizado]]="",0,MONTH(TbRegistrosSaida[[#This Row],[Data do Caixa Realizado]]))</f>
        <v>0</v>
      </c>
      <c r="J165" s="21">
        <f>IF(TbRegistrosSaida[[#This Row],[Data do Caixa Realizado]]="",0,YEAR(TbRegistrosSaida[[#This Row],[Data do Caixa Realizado]]))</f>
        <v>0</v>
      </c>
      <c r="K165" s="21">
        <f>IF(TbRegistrosSaida[[#This Row],[Data da Competência]]="",0,MONTH(TbRegistrosSaida[[#This Row],[Data da Competência]]))</f>
        <v>12</v>
      </c>
      <c r="L165" s="21">
        <f>IF(TbRegistrosSaida[[#This Row],[Data da Competência]]="",0,YEAR(TbRegistrosSaida[[#This Row],[Data da Competência]]))</f>
        <v>2018</v>
      </c>
      <c r="M165" s="57">
        <f>IF(TbRegistrosSaida[[#This Row],[Data do Caixa Previsto]]="",0,MONTH(TbRegistrosSaida[[#This Row],[Data do Caixa Previsto]]))</f>
        <v>1</v>
      </c>
      <c r="N165" s="58">
        <f>IF(TbRegistrosSaida[[#This Row],[Data do Caixa Previsto]]="",0,YEAR(TbRegistrosSaida[[#This Row],[Data do Caixa Previsto]]))</f>
        <v>2019</v>
      </c>
      <c r="O165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1908.1790700297788</v>
      </c>
    </row>
    <row r="166" spans="2:15" x14ac:dyDescent="0.25">
      <c r="B166" s="20">
        <v>43576.35130395602</v>
      </c>
      <c r="C166" s="20">
        <v>43438</v>
      </c>
      <c r="D166" s="20">
        <v>43494.750065134205</v>
      </c>
      <c r="E166" s="21" t="s">
        <v>16</v>
      </c>
      <c r="F166" s="21" t="s">
        <v>77</v>
      </c>
      <c r="G166" s="21" t="s">
        <v>467</v>
      </c>
      <c r="H166" s="25">
        <v>1236</v>
      </c>
      <c r="I166" s="21">
        <f>IF(TbRegistrosSaida[[#This Row],[Data do Caixa Realizado]]="",0,MONTH(TbRegistrosSaida[[#This Row],[Data do Caixa Realizado]]))</f>
        <v>4</v>
      </c>
      <c r="J166" s="21">
        <f>IF(TbRegistrosSaida[[#This Row],[Data do Caixa Realizado]]="",0,YEAR(TbRegistrosSaida[[#This Row],[Data do Caixa Realizado]]))</f>
        <v>2019</v>
      </c>
      <c r="K166" s="21">
        <f>IF(TbRegistrosSaida[[#This Row],[Data da Competência]]="",0,MONTH(TbRegistrosSaida[[#This Row],[Data da Competência]]))</f>
        <v>12</v>
      </c>
      <c r="L166" s="21">
        <f>IF(TbRegistrosSaida[[#This Row],[Data da Competência]]="",0,YEAR(TbRegistrosSaida[[#This Row],[Data da Competência]]))</f>
        <v>2018</v>
      </c>
      <c r="M166" s="57">
        <f>IF(TbRegistrosSaida[[#This Row],[Data do Caixa Previsto]]="",0,MONTH(TbRegistrosSaida[[#This Row],[Data do Caixa Previsto]]))</f>
        <v>1</v>
      </c>
      <c r="N166" s="58">
        <f>IF(TbRegistrosSaida[[#This Row],[Data do Caixa Previsto]]="",0,YEAR(TbRegistrosSaida[[#This Row],[Data do Caixa Previsto]]))</f>
        <v>2019</v>
      </c>
      <c r="O166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81.601238821815059</v>
      </c>
    </row>
    <row r="167" spans="2:15" hidden="1" x14ac:dyDescent="0.25">
      <c r="B167" s="20">
        <v>43465.7468934922</v>
      </c>
      <c r="C167" s="20">
        <v>43443</v>
      </c>
      <c r="D167" s="20">
        <v>43465.7468934922</v>
      </c>
      <c r="E167" s="21" t="s">
        <v>16</v>
      </c>
      <c r="F167" s="21" t="s">
        <v>77</v>
      </c>
      <c r="G167" s="21" t="s">
        <v>468</v>
      </c>
      <c r="H167" s="25">
        <v>426</v>
      </c>
      <c r="I167" s="21">
        <f>IF(TbRegistrosSaida[[#This Row],[Data do Caixa Realizado]]="",0,MONTH(TbRegistrosSaida[[#This Row],[Data do Caixa Realizado]]))</f>
        <v>12</v>
      </c>
      <c r="J167" s="21">
        <f>IF(TbRegistrosSaida[[#This Row],[Data do Caixa Realizado]]="",0,YEAR(TbRegistrosSaida[[#This Row],[Data do Caixa Realizado]]))</f>
        <v>2018</v>
      </c>
      <c r="K167" s="21">
        <f>IF(TbRegistrosSaida[[#This Row],[Data da Competência]]="",0,MONTH(TbRegistrosSaida[[#This Row],[Data da Competência]]))</f>
        <v>12</v>
      </c>
      <c r="L167" s="21">
        <f>IF(TbRegistrosSaida[[#This Row],[Data da Competência]]="",0,YEAR(TbRegistrosSaida[[#This Row],[Data da Competência]]))</f>
        <v>2018</v>
      </c>
      <c r="M167" s="57">
        <f>IF(TbRegistrosSaida[[#This Row],[Data do Caixa Previsto]]="",0,MONTH(TbRegistrosSaida[[#This Row],[Data do Caixa Previsto]]))</f>
        <v>12</v>
      </c>
      <c r="N167" s="58">
        <f>IF(TbRegistrosSaida[[#This Row],[Data do Caixa Previsto]]="",0,YEAR(TbRegistrosSaida[[#This Row],[Data do Caixa Previsto]]))</f>
        <v>2018</v>
      </c>
      <c r="O167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8" spans="2:15" hidden="1" x14ac:dyDescent="0.25">
      <c r="B168" s="20">
        <v>43465.107280855569</v>
      </c>
      <c r="C168" s="20">
        <v>43444</v>
      </c>
      <c r="D168" s="20">
        <v>43458.160574156776</v>
      </c>
      <c r="E168" s="21" t="s">
        <v>16</v>
      </c>
      <c r="F168" s="21" t="s">
        <v>17</v>
      </c>
      <c r="G168" s="21" t="s">
        <v>469</v>
      </c>
      <c r="H168" s="25">
        <v>3956</v>
      </c>
      <c r="I168" s="21">
        <f>IF(TbRegistrosSaida[[#This Row],[Data do Caixa Realizado]]="",0,MONTH(TbRegistrosSaida[[#This Row],[Data do Caixa Realizado]]))</f>
        <v>12</v>
      </c>
      <c r="J168" s="21">
        <f>IF(TbRegistrosSaida[[#This Row],[Data do Caixa Realizado]]="",0,YEAR(TbRegistrosSaida[[#This Row],[Data do Caixa Realizado]]))</f>
        <v>2018</v>
      </c>
      <c r="K168" s="21">
        <f>IF(TbRegistrosSaida[[#This Row],[Data da Competência]]="",0,MONTH(TbRegistrosSaida[[#This Row],[Data da Competência]]))</f>
        <v>12</v>
      </c>
      <c r="L168" s="21">
        <f>IF(TbRegistrosSaida[[#This Row],[Data da Competência]]="",0,YEAR(TbRegistrosSaida[[#This Row],[Data da Competência]]))</f>
        <v>2018</v>
      </c>
      <c r="M168" s="57">
        <f>IF(TbRegistrosSaida[[#This Row],[Data do Caixa Previsto]]="",0,MONTH(TbRegistrosSaida[[#This Row],[Data do Caixa Previsto]]))</f>
        <v>12</v>
      </c>
      <c r="N168" s="58">
        <f>IF(TbRegistrosSaida[[#This Row],[Data do Caixa Previsto]]="",0,YEAR(TbRegistrosSaida[[#This Row],[Data do Caixa Previsto]]))</f>
        <v>2018</v>
      </c>
      <c r="O168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6.9467066987926955</v>
      </c>
    </row>
    <row r="169" spans="2:15" hidden="1" x14ac:dyDescent="0.25">
      <c r="B169" s="20" t="s">
        <v>92</v>
      </c>
      <c r="C169" s="20">
        <v>43448</v>
      </c>
      <c r="D169" s="20">
        <v>43480.746977784853</v>
      </c>
      <c r="E169" s="21" t="s">
        <v>16</v>
      </c>
      <c r="F169" s="21" t="s">
        <v>77</v>
      </c>
      <c r="G169" s="21" t="s">
        <v>470</v>
      </c>
      <c r="H169" s="25">
        <v>3042</v>
      </c>
      <c r="I169" s="21">
        <f>IF(TbRegistrosSaida[[#This Row],[Data do Caixa Realizado]]="",0,MONTH(TbRegistrosSaida[[#This Row],[Data do Caixa Realizado]]))</f>
        <v>0</v>
      </c>
      <c r="J169" s="21">
        <f>IF(TbRegistrosSaida[[#This Row],[Data do Caixa Realizado]]="",0,YEAR(TbRegistrosSaida[[#This Row],[Data do Caixa Realizado]]))</f>
        <v>0</v>
      </c>
      <c r="K169" s="21">
        <f>IF(TbRegistrosSaida[[#This Row],[Data da Competência]]="",0,MONTH(TbRegistrosSaida[[#This Row],[Data da Competência]]))</f>
        <v>12</v>
      </c>
      <c r="L169" s="21">
        <f>IF(TbRegistrosSaida[[#This Row],[Data da Competência]]="",0,YEAR(TbRegistrosSaida[[#This Row],[Data da Competência]]))</f>
        <v>2018</v>
      </c>
      <c r="M169" s="57">
        <f>IF(TbRegistrosSaida[[#This Row],[Data do Caixa Previsto]]="",0,MONTH(TbRegistrosSaida[[#This Row],[Data do Caixa Previsto]]))</f>
        <v>1</v>
      </c>
      <c r="N169" s="58">
        <f>IF(TbRegistrosSaida[[#This Row],[Data do Caixa Previsto]]="",0,YEAR(TbRegistrosSaida[[#This Row],[Data do Caixa Previsto]]))</f>
        <v>2019</v>
      </c>
      <c r="O16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1913.2530222151472</v>
      </c>
    </row>
    <row r="170" spans="2:15" x14ac:dyDescent="0.25">
      <c r="B170" s="20">
        <v>43506.264597842761</v>
      </c>
      <c r="C170" s="20">
        <v>43449</v>
      </c>
      <c r="D170" s="20">
        <v>43489.335938548378</v>
      </c>
      <c r="E170" s="21" t="s">
        <v>16</v>
      </c>
      <c r="F170" s="21" t="s">
        <v>77</v>
      </c>
      <c r="G170" s="21" t="s">
        <v>471</v>
      </c>
      <c r="H170" s="25">
        <v>1434</v>
      </c>
      <c r="I170" s="21">
        <f>IF(TbRegistrosSaida[[#This Row],[Data do Caixa Realizado]]="",0,MONTH(TbRegistrosSaida[[#This Row],[Data do Caixa Realizado]]))</f>
        <v>2</v>
      </c>
      <c r="J170" s="21">
        <f>IF(TbRegistrosSaida[[#This Row],[Data do Caixa Realizado]]="",0,YEAR(TbRegistrosSaida[[#This Row],[Data do Caixa Realizado]]))</f>
        <v>2019</v>
      </c>
      <c r="K170" s="21">
        <f>IF(TbRegistrosSaida[[#This Row],[Data da Competência]]="",0,MONTH(TbRegistrosSaida[[#This Row],[Data da Competência]]))</f>
        <v>12</v>
      </c>
      <c r="L170" s="21">
        <f>IF(TbRegistrosSaida[[#This Row],[Data da Competência]]="",0,YEAR(TbRegistrosSaida[[#This Row],[Data da Competência]]))</f>
        <v>2018</v>
      </c>
      <c r="M170" s="57">
        <f>IF(TbRegistrosSaida[[#This Row],[Data do Caixa Previsto]]="",0,MONTH(TbRegistrosSaida[[#This Row],[Data do Caixa Previsto]]))</f>
        <v>1</v>
      </c>
      <c r="N170" s="58">
        <f>IF(TbRegistrosSaida[[#This Row],[Data do Caixa Previsto]]="",0,YEAR(TbRegistrosSaida[[#This Row],[Data do Caixa Previsto]]))</f>
        <v>2019</v>
      </c>
      <c r="O170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16.928659294382669</v>
      </c>
    </row>
    <row r="171" spans="2:15" x14ac:dyDescent="0.25">
      <c r="B171" s="20">
        <v>43487.188431641203</v>
      </c>
      <c r="C171" s="20">
        <v>43452</v>
      </c>
      <c r="D171" s="20">
        <v>43487.188431641203</v>
      </c>
      <c r="E171" s="21" t="s">
        <v>16</v>
      </c>
      <c r="F171" s="21" t="s">
        <v>49</v>
      </c>
      <c r="G171" s="21" t="s">
        <v>472</v>
      </c>
      <c r="H171" s="25">
        <v>1782</v>
      </c>
      <c r="I171" s="21">
        <f>IF(TbRegistrosSaida[[#This Row],[Data do Caixa Realizado]]="",0,MONTH(TbRegistrosSaida[[#This Row],[Data do Caixa Realizado]]))</f>
        <v>1</v>
      </c>
      <c r="J171" s="21">
        <f>IF(TbRegistrosSaida[[#This Row],[Data do Caixa Realizado]]="",0,YEAR(TbRegistrosSaida[[#This Row],[Data do Caixa Realizado]]))</f>
        <v>2019</v>
      </c>
      <c r="K171" s="21">
        <f>IF(TbRegistrosSaida[[#This Row],[Data da Competência]]="",0,MONTH(TbRegistrosSaida[[#This Row],[Data da Competência]]))</f>
        <v>12</v>
      </c>
      <c r="L171" s="21">
        <f>IF(TbRegistrosSaida[[#This Row],[Data da Competência]]="",0,YEAR(TbRegistrosSaida[[#This Row],[Data da Competência]]))</f>
        <v>2018</v>
      </c>
      <c r="M171" s="57">
        <f>IF(TbRegistrosSaida[[#This Row],[Data do Caixa Previsto]]="",0,MONTH(TbRegistrosSaida[[#This Row],[Data do Caixa Previsto]]))</f>
        <v>1</v>
      </c>
      <c r="N171" s="58">
        <f>IF(TbRegistrosSaida[[#This Row],[Data do Caixa Previsto]]="",0,YEAR(TbRegistrosSaida[[#This Row],[Data do Caixa Previsto]]))</f>
        <v>2019</v>
      </c>
      <c r="O171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2" spans="2:15" x14ac:dyDescent="0.25">
      <c r="B172" s="20">
        <v>43514.403187421965</v>
      </c>
      <c r="C172" s="20">
        <v>43459</v>
      </c>
      <c r="D172" s="20">
        <v>43514.403187421965</v>
      </c>
      <c r="E172" s="21" t="s">
        <v>16</v>
      </c>
      <c r="F172" s="21" t="s">
        <v>77</v>
      </c>
      <c r="G172" s="21" t="s">
        <v>473</v>
      </c>
      <c r="H172" s="25">
        <v>365</v>
      </c>
      <c r="I172" s="21">
        <f>IF(TbRegistrosSaida[[#This Row],[Data do Caixa Realizado]]="",0,MONTH(TbRegistrosSaida[[#This Row],[Data do Caixa Realizado]]))</f>
        <v>2</v>
      </c>
      <c r="J172" s="21">
        <f>IF(TbRegistrosSaida[[#This Row],[Data do Caixa Realizado]]="",0,YEAR(TbRegistrosSaida[[#This Row],[Data do Caixa Realizado]]))</f>
        <v>2019</v>
      </c>
      <c r="K172" s="21">
        <f>IF(TbRegistrosSaida[[#This Row],[Data da Competência]]="",0,MONTH(TbRegistrosSaida[[#This Row],[Data da Competência]]))</f>
        <v>12</v>
      </c>
      <c r="L172" s="21">
        <f>IF(TbRegistrosSaida[[#This Row],[Data da Competência]]="",0,YEAR(TbRegistrosSaida[[#This Row],[Data da Competência]]))</f>
        <v>2018</v>
      </c>
      <c r="M172" s="57">
        <f>IF(TbRegistrosSaida[[#This Row],[Data do Caixa Previsto]]="",0,MONTH(TbRegistrosSaida[[#This Row],[Data do Caixa Previsto]]))</f>
        <v>2</v>
      </c>
      <c r="N172" s="58">
        <f>IF(TbRegistrosSaida[[#This Row],[Data do Caixa Previsto]]="",0,YEAR(TbRegistrosSaida[[#This Row],[Data do Caixa Previsto]]))</f>
        <v>2019</v>
      </c>
      <c r="O172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3" spans="2:15" x14ac:dyDescent="0.25">
      <c r="B173" s="20">
        <v>43491.679228472654</v>
      </c>
      <c r="C173" s="20">
        <v>43461</v>
      </c>
      <c r="D173" s="20">
        <v>43491.679228472654</v>
      </c>
      <c r="E173" s="21" t="s">
        <v>16</v>
      </c>
      <c r="F173" s="21" t="s">
        <v>77</v>
      </c>
      <c r="G173" s="21" t="s">
        <v>474</v>
      </c>
      <c r="H173" s="25">
        <v>2757</v>
      </c>
      <c r="I173" s="21">
        <f>IF(TbRegistrosSaida[[#This Row],[Data do Caixa Realizado]]="",0,MONTH(TbRegistrosSaida[[#This Row],[Data do Caixa Realizado]]))</f>
        <v>1</v>
      </c>
      <c r="J173" s="21">
        <f>IF(TbRegistrosSaida[[#This Row],[Data do Caixa Realizado]]="",0,YEAR(TbRegistrosSaida[[#This Row],[Data do Caixa Realizado]]))</f>
        <v>2019</v>
      </c>
      <c r="K173" s="21">
        <f>IF(TbRegistrosSaida[[#This Row],[Data da Competência]]="",0,MONTH(TbRegistrosSaida[[#This Row],[Data da Competência]]))</f>
        <v>12</v>
      </c>
      <c r="L173" s="21">
        <f>IF(TbRegistrosSaida[[#This Row],[Data da Competência]]="",0,YEAR(TbRegistrosSaida[[#This Row],[Data da Competência]]))</f>
        <v>2018</v>
      </c>
      <c r="M173" s="57">
        <f>IF(TbRegistrosSaida[[#This Row],[Data do Caixa Previsto]]="",0,MONTH(TbRegistrosSaida[[#This Row],[Data do Caixa Previsto]]))</f>
        <v>1</v>
      </c>
      <c r="N173" s="58">
        <f>IF(TbRegistrosSaida[[#This Row],[Data do Caixa Previsto]]="",0,YEAR(TbRegistrosSaida[[#This Row],[Data do Caixa Previsto]]))</f>
        <v>2019</v>
      </c>
      <c r="O173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4" spans="2:15" x14ac:dyDescent="0.25">
      <c r="B174" s="20">
        <v>43515.206907104708</v>
      </c>
      <c r="C174" s="20">
        <v>43464</v>
      </c>
      <c r="D174" s="20">
        <v>43515.206907104708</v>
      </c>
      <c r="E174" s="21" t="s">
        <v>16</v>
      </c>
      <c r="F174" s="21" t="s">
        <v>49</v>
      </c>
      <c r="G174" s="21" t="s">
        <v>475</v>
      </c>
      <c r="H174" s="25">
        <v>2112</v>
      </c>
      <c r="I174" s="21">
        <f>IF(TbRegistrosSaida[[#This Row],[Data do Caixa Realizado]]="",0,MONTH(TbRegistrosSaida[[#This Row],[Data do Caixa Realizado]]))</f>
        <v>2</v>
      </c>
      <c r="J174" s="21">
        <f>IF(TbRegistrosSaida[[#This Row],[Data do Caixa Realizado]]="",0,YEAR(TbRegistrosSaida[[#This Row],[Data do Caixa Realizado]]))</f>
        <v>2019</v>
      </c>
      <c r="K174" s="21">
        <f>IF(TbRegistrosSaida[[#This Row],[Data da Competência]]="",0,MONTH(TbRegistrosSaida[[#This Row],[Data da Competência]]))</f>
        <v>12</v>
      </c>
      <c r="L174" s="21">
        <f>IF(TbRegistrosSaida[[#This Row],[Data da Competência]]="",0,YEAR(TbRegistrosSaida[[#This Row],[Data da Competência]]))</f>
        <v>2018</v>
      </c>
      <c r="M174" s="57">
        <f>IF(TbRegistrosSaida[[#This Row],[Data do Caixa Previsto]]="",0,MONTH(TbRegistrosSaida[[#This Row],[Data do Caixa Previsto]]))</f>
        <v>2</v>
      </c>
      <c r="N174" s="58">
        <f>IF(TbRegistrosSaida[[#This Row],[Data do Caixa Previsto]]="",0,YEAR(TbRegistrosSaida[[#This Row],[Data do Caixa Previsto]]))</f>
        <v>2019</v>
      </c>
      <c r="O174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5" spans="2:15" x14ac:dyDescent="0.25">
      <c r="B175" s="20">
        <v>43573.207294267304</v>
      </c>
      <c r="C175" s="20">
        <v>43467</v>
      </c>
      <c r="D175" s="20">
        <v>43483.579939553441</v>
      </c>
      <c r="E175" s="21" t="s">
        <v>16</v>
      </c>
      <c r="F175" s="21" t="s">
        <v>49</v>
      </c>
      <c r="G175" s="21" t="s">
        <v>476</v>
      </c>
      <c r="H175" s="25">
        <v>2190</v>
      </c>
      <c r="I175" s="21">
        <f>IF(TbRegistrosSaida[[#This Row],[Data do Caixa Realizado]]="",0,MONTH(TbRegistrosSaida[[#This Row],[Data do Caixa Realizado]]))</f>
        <v>4</v>
      </c>
      <c r="J175" s="21">
        <f>IF(TbRegistrosSaida[[#This Row],[Data do Caixa Realizado]]="",0,YEAR(TbRegistrosSaida[[#This Row],[Data do Caixa Realizado]]))</f>
        <v>2019</v>
      </c>
      <c r="K175" s="21">
        <f>IF(TbRegistrosSaida[[#This Row],[Data da Competência]]="",0,MONTH(TbRegistrosSaida[[#This Row],[Data da Competência]]))</f>
        <v>1</v>
      </c>
      <c r="L175" s="21">
        <f>IF(TbRegistrosSaida[[#This Row],[Data da Competência]]="",0,YEAR(TbRegistrosSaida[[#This Row],[Data da Competência]]))</f>
        <v>2019</v>
      </c>
      <c r="M175" s="57">
        <f>IF(TbRegistrosSaida[[#This Row],[Data do Caixa Previsto]]="",0,MONTH(TbRegistrosSaida[[#This Row],[Data do Caixa Previsto]]))</f>
        <v>1</v>
      </c>
      <c r="N175" s="58">
        <f>IF(TbRegistrosSaida[[#This Row],[Data do Caixa Previsto]]="",0,YEAR(TbRegistrosSaida[[#This Row],[Data do Caixa Previsto]]))</f>
        <v>2019</v>
      </c>
      <c r="O175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89.627354713862587</v>
      </c>
    </row>
    <row r="176" spans="2:15" x14ac:dyDescent="0.25">
      <c r="B176" s="20">
        <v>43485.642328387614</v>
      </c>
      <c r="C176" s="20">
        <v>43469</v>
      </c>
      <c r="D176" s="20">
        <v>43485.642328387614</v>
      </c>
      <c r="E176" s="21" t="s">
        <v>16</v>
      </c>
      <c r="F176" s="21" t="s">
        <v>77</v>
      </c>
      <c r="G176" s="21" t="s">
        <v>477</v>
      </c>
      <c r="H176" s="25">
        <v>2998</v>
      </c>
      <c r="I176" s="21">
        <f>IF(TbRegistrosSaida[[#This Row],[Data do Caixa Realizado]]="",0,MONTH(TbRegistrosSaida[[#This Row],[Data do Caixa Realizado]]))</f>
        <v>1</v>
      </c>
      <c r="J176" s="21">
        <f>IF(TbRegistrosSaida[[#This Row],[Data do Caixa Realizado]]="",0,YEAR(TbRegistrosSaida[[#This Row],[Data do Caixa Realizado]]))</f>
        <v>2019</v>
      </c>
      <c r="K176" s="21">
        <f>IF(TbRegistrosSaida[[#This Row],[Data da Competência]]="",0,MONTH(TbRegistrosSaida[[#This Row],[Data da Competência]]))</f>
        <v>1</v>
      </c>
      <c r="L176" s="21">
        <f>IF(TbRegistrosSaida[[#This Row],[Data da Competência]]="",0,YEAR(TbRegistrosSaida[[#This Row],[Data da Competência]]))</f>
        <v>2019</v>
      </c>
      <c r="M176" s="57">
        <f>IF(TbRegistrosSaida[[#This Row],[Data do Caixa Previsto]]="",0,MONTH(TbRegistrosSaida[[#This Row],[Data do Caixa Previsto]]))</f>
        <v>1</v>
      </c>
      <c r="N176" s="58">
        <f>IF(TbRegistrosSaida[[#This Row],[Data do Caixa Previsto]]="",0,YEAR(TbRegistrosSaida[[#This Row],[Data do Caixa Previsto]]))</f>
        <v>2019</v>
      </c>
      <c r="O176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7" spans="2:15" x14ac:dyDescent="0.25">
      <c r="B177" s="20">
        <v>43501.032672097659</v>
      </c>
      <c r="C177" s="20">
        <v>43476</v>
      </c>
      <c r="D177" s="20">
        <v>43501.032672097659</v>
      </c>
      <c r="E177" s="21" t="s">
        <v>16</v>
      </c>
      <c r="F177" s="21" t="s">
        <v>77</v>
      </c>
      <c r="G177" s="21" t="s">
        <v>478</v>
      </c>
      <c r="H177" s="25">
        <v>3808</v>
      </c>
      <c r="I177" s="21">
        <f>IF(TbRegistrosSaida[[#This Row],[Data do Caixa Realizado]]="",0,MONTH(TbRegistrosSaida[[#This Row],[Data do Caixa Realizado]]))</f>
        <v>2</v>
      </c>
      <c r="J177" s="21">
        <f>IF(TbRegistrosSaida[[#This Row],[Data do Caixa Realizado]]="",0,YEAR(TbRegistrosSaida[[#This Row],[Data do Caixa Realizado]]))</f>
        <v>2019</v>
      </c>
      <c r="K177" s="21">
        <f>IF(TbRegistrosSaida[[#This Row],[Data da Competência]]="",0,MONTH(TbRegistrosSaida[[#This Row],[Data da Competência]]))</f>
        <v>1</v>
      </c>
      <c r="L177" s="21">
        <f>IF(TbRegistrosSaida[[#This Row],[Data da Competência]]="",0,YEAR(TbRegistrosSaida[[#This Row],[Data da Competência]]))</f>
        <v>2019</v>
      </c>
      <c r="M177" s="57">
        <f>IF(TbRegistrosSaida[[#This Row],[Data do Caixa Previsto]]="",0,MONTH(TbRegistrosSaida[[#This Row],[Data do Caixa Previsto]]))</f>
        <v>2</v>
      </c>
      <c r="N177" s="58">
        <f>IF(TbRegistrosSaida[[#This Row],[Data do Caixa Previsto]]="",0,YEAR(TbRegistrosSaida[[#This Row],[Data do Caixa Previsto]]))</f>
        <v>2019</v>
      </c>
      <c r="O177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8" spans="2:15" x14ac:dyDescent="0.25">
      <c r="B178" s="20">
        <v>43495.478907818499</v>
      </c>
      <c r="C178" s="20">
        <v>43479</v>
      </c>
      <c r="D178" s="20">
        <v>43495.478907818499</v>
      </c>
      <c r="E178" s="21" t="s">
        <v>16</v>
      </c>
      <c r="F178" s="21" t="s">
        <v>77</v>
      </c>
      <c r="G178" s="21" t="s">
        <v>479</v>
      </c>
      <c r="H178" s="25">
        <v>4928</v>
      </c>
      <c r="I178" s="21">
        <f>IF(TbRegistrosSaida[[#This Row],[Data do Caixa Realizado]]="",0,MONTH(TbRegistrosSaida[[#This Row],[Data do Caixa Realizado]]))</f>
        <v>1</v>
      </c>
      <c r="J178" s="21">
        <f>IF(TbRegistrosSaida[[#This Row],[Data do Caixa Realizado]]="",0,YEAR(TbRegistrosSaida[[#This Row],[Data do Caixa Realizado]]))</f>
        <v>2019</v>
      </c>
      <c r="K178" s="21">
        <f>IF(TbRegistrosSaida[[#This Row],[Data da Competência]]="",0,MONTH(TbRegistrosSaida[[#This Row],[Data da Competência]]))</f>
        <v>1</v>
      </c>
      <c r="L178" s="21">
        <f>IF(TbRegistrosSaida[[#This Row],[Data da Competência]]="",0,YEAR(TbRegistrosSaida[[#This Row],[Data da Competência]]))</f>
        <v>2019</v>
      </c>
      <c r="M178" s="57">
        <f>IF(TbRegistrosSaida[[#This Row],[Data do Caixa Previsto]]="",0,MONTH(TbRegistrosSaida[[#This Row],[Data do Caixa Previsto]]))</f>
        <v>1</v>
      </c>
      <c r="N178" s="58">
        <f>IF(TbRegistrosSaida[[#This Row],[Data do Caixa Previsto]]="",0,YEAR(TbRegistrosSaida[[#This Row],[Data do Caixa Previsto]]))</f>
        <v>2019</v>
      </c>
      <c r="O178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9" spans="2:15" x14ac:dyDescent="0.25">
      <c r="B179" s="20">
        <v>43536.025611727033</v>
      </c>
      <c r="C179" s="20">
        <v>43482</v>
      </c>
      <c r="D179" s="20">
        <v>43536.025611727033</v>
      </c>
      <c r="E179" s="21" t="s">
        <v>16</v>
      </c>
      <c r="F179" s="21" t="s">
        <v>49</v>
      </c>
      <c r="G179" s="21" t="s">
        <v>480</v>
      </c>
      <c r="H179" s="25">
        <v>4179</v>
      </c>
      <c r="I179" s="21">
        <f>IF(TbRegistrosSaida[[#This Row],[Data do Caixa Realizado]]="",0,MONTH(TbRegistrosSaida[[#This Row],[Data do Caixa Realizado]]))</f>
        <v>3</v>
      </c>
      <c r="J179" s="21">
        <f>IF(TbRegistrosSaida[[#This Row],[Data do Caixa Realizado]]="",0,YEAR(TbRegistrosSaida[[#This Row],[Data do Caixa Realizado]]))</f>
        <v>2019</v>
      </c>
      <c r="K179" s="21">
        <f>IF(TbRegistrosSaida[[#This Row],[Data da Competência]]="",0,MONTH(TbRegistrosSaida[[#This Row],[Data da Competência]]))</f>
        <v>1</v>
      </c>
      <c r="L179" s="21">
        <f>IF(TbRegistrosSaida[[#This Row],[Data da Competência]]="",0,YEAR(TbRegistrosSaida[[#This Row],[Data da Competência]]))</f>
        <v>2019</v>
      </c>
      <c r="M179" s="57">
        <f>IF(TbRegistrosSaida[[#This Row],[Data do Caixa Previsto]]="",0,MONTH(TbRegistrosSaida[[#This Row],[Data do Caixa Previsto]]))</f>
        <v>3</v>
      </c>
      <c r="N179" s="58">
        <f>IF(TbRegistrosSaida[[#This Row],[Data do Caixa Previsto]]="",0,YEAR(TbRegistrosSaida[[#This Row],[Data do Caixa Previsto]]))</f>
        <v>2019</v>
      </c>
      <c r="O179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0" spans="2:15" x14ac:dyDescent="0.25">
      <c r="B180" s="20">
        <v>43499.993512821027</v>
      </c>
      <c r="C180" s="20">
        <v>43484</v>
      </c>
      <c r="D180" s="20">
        <v>43499.993512821027</v>
      </c>
      <c r="E180" s="21" t="s">
        <v>16</v>
      </c>
      <c r="F180" s="21" t="s">
        <v>17</v>
      </c>
      <c r="G180" s="21" t="s">
        <v>481</v>
      </c>
      <c r="H180" s="25">
        <v>4896</v>
      </c>
      <c r="I180" s="21">
        <f>IF(TbRegistrosSaida[[#This Row],[Data do Caixa Realizado]]="",0,MONTH(TbRegistrosSaida[[#This Row],[Data do Caixa Realizado]]))</f>
        <v>2</v>
      </c>
      <c r="J180" s="21">
        <f>IF(TbRegistrosSaida[[#This Row],[Data do Caixa Realizado]]="",0,YEAR(TbRegistrosSaida[[#This Row],[Data do Caixa Realizado]]))</f>
        <v>2019</v>
      </c>
      <c r="K180" s="21">
        <f>IF(TbRegistrosSaida[[#This Row],[Data da Competência]]="",0,MONTH(TbRegistrosSaida[[#This Row],[Data da Competência]]))</f>
        <v>1</v>
      </c>
      <c r="L180" s="21">
        <f>IF(TbRegistrosSaida[[#This Row],[Data da Competência]]="",0,YEAR(TbRegistrosSaida[[#This Row],[Data da Competência]]))</f>
        <v>2019</v>
      </c>
      <c r="M180" s="57">
        <f>IF(TbRegistrosSaida[[#This Row],[Data do Caixa Previsto]]="",0,MONTH(TbRegistrosSaida[[#This Row],[Data do Caixa Previsto]]))</f>
        <v>2</v>
      </c>
      <c r="N180" s="58">
        <f>IF(TbRegistrosSaida[[#This Row],[Data do Caixa Previsto]]="",0,YEAR(TbRegistrosSaida[[#This Row],[Data do Caixa Previsto]]))</f>
        <v>2019</v>
      </c>
      <c r="O180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1" spans="2:15" x14ac:dyDescent="0.25">
      <c r="B181" s="20">
        <v>43498.131083059947</v>
      </c>
      <c r="C181" s="20">
        <v>43487</v>
      </c>
      <c r="D181" s="20">
        <v>43498.131083059947</v>
      </c>
      <c r="E181" s="21" t="s">
        <v>16</v>
      </c>
      <c r="F181" s="21" t="s">
        <v>49</v>
      </c>
      <c r="G181" s="21" t="s">
        <v>397</v>
      </c>
      <c r="H181" s="25">
        <v>4092</v>
      </c>
      <c r="I181" s="21">
        <f>IF(TbRegistrosSaida[[#This Row],[Data do Caixa Realizado]]="",0,MONTH(TbRegistrosSaida[[#This Row],[Data do Caixa Realizado]]))</f>
        <v>2</v>
      </c>
      <c r="J181" s="21">
        <f>IF(TbRegistrosSaida[[#This Row],[Data do Caixa Realizado]]="",0,YEAR(TbRegistrosSaida[[#This Row],[Data do Caixa Realizado]]))</f>
        <v>2019</v>
      </c>
      <c r="K181" s="21">
        <f>IF(TbRegistrosSaida[[#This Row],[Data da Competência]]="",0,MONTH(TbRegistrosSaida[[#This Row],[Data da Competência]]))</f>
        <v>1</v>
      </c>
      <c r="L181" s="21">
        <f>IF(TbRegistrosSaida[[#This Row],[Data da Competência]]="",0,YEAR(TbRegistrosSaida[[#This Row],[Data da Competência]]))</f>
        <v>2019</v>
      </c>
      <c r="M181" s="57">
        <f>IF(TbRegistrosSaida[[#This Row],[Data do Caixa Previsto]]="",0,MONTH(TbRegistrosSaida[[#This Row],[Data do Caixa Previsto]]))</f>
        <v>2</v>
      </c>
      <c r="N181" s="58">
        <f>IF(TbRegistrosSaida[[#This Row],[Data do Caixa Previsto]]="",0,YEAR(TbRegistrosSaida[[#This Row],[Data do Caixa Previsto]]))</f>
        <v>2019</v>
      </c>
      <c r="O181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2" spans="2:15" x14ac:dyDescent="0.25">
      <c r="B182" s="20">
        <v>43496.93367126838</v>
      </c>
      <c r="C182" s="20">
        <v>43492</v>
      </c>
      <c r="D182" s="20">
        <v>43496.93367126838</v>
      </c>
      <c r="E182" s="21" t="s">
        <v>16</v>
      </c>
      <c r="F182" s="21" t="s">
        <v>77</v>
      </c>
      <c r="G182" s="21" t="s">
        <v>482</v>
      </c>
      <c r="H182" s="25">
        <v>2956</v>
      </c>
      <c r="I182" s="21">
        <f>IF(TbRegistrosSaida[[#This Row],[Data do Caixa Realizado]]="",0,MONTH(TbRegistrosSaida[[#This Row],[Data do Caixa Realizado]]))</f>
        <v>1</v>
      </c>
      <c r="J182" s="21">
        <f>IF(TbRegistrosSaida[[#This Row],[Data do Caixa Realizado]]="",0,YEAR(TbRegistrosSaida[[#This Row],[Data do Caixa Realizado]]))</f>
        <v>2019</v>
      </c>
      <c r="K182" s="21">
        <f>IF(TbRegistrosSaida[[#This Row],[Data da Competência]]="",0,MONTH(TbRegistrosSaida[[#This Row],[Data da Competência]]))</f>
        <v>1</v>
      </c>
      <c r="L182" s="21">
        <f>IF(TbRegistrosSaida[[#This Row],[Data da Competência]]="",0,YEAR(TbRegistrosSaida[[#This Row],[Data da Competência]]))</f>
        <v>2019</v>
      </c>
      <c r="M182" s="57">
        <f>IF(TbRegistrosSaida[[#This Row],[Data do Caixa Previsto]]="",0,MONTH(TbRegistrosSaida[[#This Row],[Data do Caixa Previsto]]))</f>
        <v>1</v>
      </c>
      <c r="N182" s="58">
        <f>IF(TbRegistrosSaida[[#This Row],[Data do Caixa Previsto]]="",0,YEAR(TbRegistrosSaida[[#This Row],[Data do Caixa Previsto]]))</f>
        <v>2019</v>
      </c>
      <c r="O182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3" spans="2:15" x14ac:dyDescent="0.25">
      <c r="B183" s="20">
        <v>43509.777939985303</v>
      </c>
      <c r="C183" s="20">
        <v>43496</v>
      </c>
      <c r="D183" s="20">
        <v>43509.777939985303</v>
      </c>
      <c r="E183" s="21" t="s">
        <v>16</v>
      </c>
      <c r="F183" s="21" t="s">
        <v>49</v>
      </c>
      <c r="G183" s="21" t="s">
        <v>483</v>
      </c>
      <c r="H183" s="25">
        <v>533</v>
      </c>
      <c r="I183" s="21">
        <f>IF(TbRegistrosSaida[[#This Row],[Data do Caixa Realizado]]="",0,MONTH(TbRegistrosSaida[[#This Row],[Data do Caixa Realizado]]))</f>
        <v>2</v>
      </c>
      <c r="J183" s="21">
        <f>IF(TbRegistrosSaida[[#This Row],[Data do Caixa Realizado]]="",0,YEAR(TbRegistrosSaida[[#This Row],[Data do Caixa Realizado]]))</f>
        <v>2019</v>
      </c>
      <c r="K183" s="21">
        <f>IF(TbRegistrosSaida[[#This Row],[Data da Competência]]="",0,MONTH(TbRegistrosSaida[[#This Row],[Data da Competência]]))</f>
        <v>1</v>
      </c>
      <c r="L183" s="21">
        <f>IF(TbRegistrosSaida[[#This Row],[Data da Competência]]="",0,YEAR(TbRegistrosSaida[[#This Row],[Data da Competência]]))</f>
        <v>2019</v>
      </c>
      <c r="M183" s="57">
        <f>IF(TbRegistrosSaida[[#This Row],[Data do Caixa Previsto]]="",0,MONTH(TbRegistrosSaida[[#This Row],[Data do Caixa Previsto]]))</f>
        <v>2</v>
      </c>
      <c r="N183" s="58">
        <f>IF(TbRegistrosSaida[[#This Row],[Data do Caixa Previsto]]="",0,YEAR(TbRegistrosSaida[[#This Row],[Data do Caixa Previsto]]))</f>
        <v>2019</v>
      </c>
      <c r="O183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4" spans="2:15" x14ac:dyDescent="0.25">
      <c r="B184" s="20">
        <v>43520.73063092697</v>
      </c>
      <c r="C184" s="20">
        <v>43497</v>
      </c>
      <c r="D184" s="20">
        <v>43520.73063092697</v>
      </c>
      <c r="E184" s="21" t="s">
        <v>16</v>
      </c>
      <c r="F184" s="21" t="s">
        <v>3</v>
      </c>
      <c r="G184" s="21" t="s">
        <v>484</v>
      </c>
      <c r="H184" s="25">
        <v>3519</v>
      </c>
      <c r="I184" s="21">
        <f>IF(TbRegistrosSaida[[#This Row],[Data do Caixa Realizado]]="",0,MONTH(TbRegistrosSaida[[#This Row],[Data do Caixa Realizado]]))</f>
        <v>2</v>
      </c>
      <c r="J184" s="21">
        <f>IF(TbRegistrosSaida[[#This Row],[Data do Caixa Realizado]]="",0,YEAR(TbRegistrosSaida[[#This Row],[Data do Caixa Realizado]]))</f>
        <v>2019</v>
      </c>
      <c r="K184" s="21">
        <f>IF(TbRegistrosSaida[[#This Row],[Data da Competência]]="",0,MONTH(TbRegistrosSaida[[#This Row],[Data da Competência]]))</f>
        <v>2</v>
      </c>
      <c r="L184" s="21">
        <f>IF(TbRegistrosSaida[[#This Row],[Data da Competência]]="",0,YEAR(TbRegistrosSaida[[#This Row],[Data da Competência]]))</f>
        <v>2019</v>
      </c>
      <c r="M184" s="57">
        <f>IF(TbRegistrosSaida[[#This Row],[Data do Caixa Previsto]]="",0,MONTH(TbRegistrosSaida[[#This Row],[Data do Caixa Previsto]]))</f>
        <v>2</v>
      </c>
      <c r="N184" s="58">
        <f>IF(TbRegistrosSaida[[#This Row],[Data do Caixa Previsto]]="",0,YEAR(TbRegistrosSaida[[#This Row],[Data do Caixa Previsto]]))</f>
        <v>2019</v>
      </c>
      <c r="O184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5" spans="2:15" x14ac:dyDescent="0.25">
      <c r="B185" s="20">
        <v>43548.78797907626</v>
      </c>
      <c r="C185" s="20">
        <v>43499</v>
      </c>
      <c r="D185" s="20">
        <v>43548.78797907626</v>
      </c>
      <c r="E185" s="21" t="s">
        <v>16</v>
      </c>
      <c r="F185" s="21" t="s">
        <v>17</v>
      </c>
      <c r="G185" s="21" t="s">
        <v>485</v>
      </c>
      <c r="H185" s="25">
        <v>757</v>
      </c>
      <c r="I185" s="21">
        <f>IF(TbRegistrosSaida[[#This Row],[Data do Caixa Realizado]]="",0,MONTH(TbRegistrosSaida[[#This Row],[Data do Caixa Realizado]]))</f>
        <v>3</v>
      </c>
      <c r="J185" s="21">
        <f>IF(TbRegistrosSaida[[#This Row],[Data do Caixa Realizado]]="",0,YEAR(TbRegistrosSaida[[#This Row],[Data do Caixa Realizado]]))</f>
        <v>2019</v>
      </c>
      <c r="K185" s="21">
        <f>IF(TbRegistrosSaida[[#This Row],[Data da Competência]]="",0,MONTH(TbRegistrosSaida[[#This Row],[Data da Competência]]))</f>
        <v>2</v>
      </c>
      <c r="L185" s="21">
        <f>IF(TbRegistrosSaida[[#This Row],[Data da Competência]]="",0,YEAR(TbRegistrosSaida[[#This Row],[Data da Competência]]))</f>
        <v>2019</v>
      </c>
      <c r="M185" s="57">
        <f>IF(TbRegistrosSaida[[#This Row],[Data do Caixa Previsto]]="",0,MONTH(TbRegistrosSaida[[#This Row],[Data do Caixa Previsto]]))</f>
        <v>3</v>
      </c>
      <c r="N185" s="58">
        <f>IF(TbRegistrosSaida[[#This Row],[Data do Caixa Previsto]]="",0,YEAR(TbRegistrosSaida[[#This Row],[Data do Caixa Previsto]]))</f>
        <v>2019</v>
      </c>
      <c r="O185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6" spans="2:15" x14ac:dyDescent="0.25">
      <c r="B186" s="20">
        <v>43552.247547339066</v>
      </c>
      <c r="C186" s="20">
        <v>43503</v>
      </c>
      <c r="D186" s="20">
        <v>43552.247547339066</v>
      </c>
      <c r="E186" s="21" t="s">
        <v>16</v>
      </c>
      <c r="F186" s="21" t="s">
        <v>77</v>
      </c>
      <c r="G186" s="21" t="s">
        <v>486</v>
      </c>
      <c r="H186" s="25">
        <v>2688</v>
      </c>
      <c r="I186" s="21">
        <f>IF(TbRegistrosSaida[[#This Row],[Data do Caixa Realizado]]="",0,MONTH(TbRegistrosSaida[[#This Row],[Data do Caixa Realizado]]))</f>
        <v>3</v>
      </c>
      <c r="J186" s="21">
        <f>IF(TbRegistrosSaida[[#This Row],[Data do Caixa Realizado]]="",0,YEAR(TbRegistrosSaida[[#This Row],[Data do Caixa Realizado]]))</f>
        <v>2019</v>
      </c>
      <c r="K186" s="21">
        <f>IF(TbRegistrosSaida[[#This Row],[Data da Competência]]="",0,MONTH(TbRegistrosSaida[[#This Row],[Data da Competência]]))</f>
        <v>2</v>
      </c>
      <c r="L186" s="21">
        <f>IF(TbRegistrosSaida[[#This Row],[Data da Competência]]="",0,YEAR(TbRegistrosSaida[[#This Row],[Data da Competência]]))</f>
        <v>2019</v>
      </c>
      <c r="M186" s="57">
        <f>IF(TbRegistrosSaida[[#This Row],[Data do Caixa Previsto]]="",0,MONTH(TbRegistrosSaida[[#This Row],[Data do Caixa Previsto]]))</f>
        <v>3</v>
      </c>
      <c r="N186" s="58">
        <f>IF(TbRegistrosSaida[[#This Row],[Data do Caixa Previsto]]="",0,YEAR(TbRegistrosSaida[[#This Row],[Data do Caixa Previsto]]))</f>
        <v>2019</v>
      </c>
      <c r="O186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7" spans="2:15" x14ac:dyDescent="0.25">
      <c r="B187" s="20">
        <v>43554.442660476037</v>
      </c>
      <c r="C187" s="20">
        <v>43505</v>
      </c>
      <c r="D187" s="20">
        <v>43554.442660476037</v>
      </c>
      <c r="E187" s="21" t="s">
        <v>16</v>
      </c>
      <c r="F187" s="21" t="s">
        <v>5</v>
      </c>
      <c r="G187" s="21" t="s">
        <v>487</v>
      </c>
      <c r="H187" s="25">
        <v>340</v>
      </c>
      <c r="I187" s="21">
        <f>IF(TbRegistrosSaida[[#This Row],[Data do Caixa Realizado]]="",0,MONTH(TbRegistrosSaida[[#This Row],[Data do Caixa Realizado]]))</f>
        <v>3</v>
      </c>
      <c r="J187" s="21">
        <f>IF(TbRegistrosSaida[[#This Row],[Data do Caixa Realizado]]="",0,YEAR(TbRegistrosSaida[[#This Row],[Data do Caixa Realizado]]))</f>
        <v>2019</v>
      </c>
      <c r="K187" s="21">
        <f>IF(TbRegistrosSaida[[#This Row],[Data da Competência]]="",0,MONTH(TbRegistrosSaida[[#This Row],[Data da Competência]]))</f>
        <v>2</v>
      </c>
      <c r="L187" s="21">
        <f>IF(TbRegistrosSaida[[#This Row],[Data da Competência]]="",0,YEAR(TbRegistrosSaida[[#This Row],[Data da Competência]]))</f>
        <v>2019</v>
      </c>
      <c r="M187" s="57">
        <f>IF(TbRegistrosSaida[[#This Row],[Data do Caixa Previsto]]="",0,MONTH(TbRegistrosSaida[[#This Row],[Data do Caixa Previsto]]))</f>
        <v>3</v>
      </c>
      <c r="N187" s="58">
        <f>IF(TbRegistrosSaida[[#This Row],[Data do Caixa Previsto]]="",0,YEAR(TbRegistrosSaida[[#This Row],[Data do Caixa Previsto]]))</f>
        <v>2019</v>
      </c>
      <c r="O187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8" spans="2:15" x14ac:dyDescent="0.25">
      <c r="B188" s="20">
        <v>43508.592568137858</v>
      </c>
      <c r="C188" s="20">
        <v>43506</v>
      </c>
      <c r="D188" s="20">
        <v>43508.592568137858</v>
      </c>
      <c r="E188" s="21" t="s">
        <v>16</v>
      </c>
      <c r="F188" s="21" t="s">
        <v>5</v>
      </c>
      <c r="G188" s="21" t="s">
        <v>488</v>
      </c>
      <c r="H188" s="25">
        <v>4204</v>
      </c>
      <c r="I188" s="21">
        <f>IF(TbRegistrosSaida[[#This Row],[Data do Caixa Realizado]]="",0,MONTH(TbRegistrosSaida[[#This Row],[Data do Caixa Realizado]]))</f>
        <v>2</v>
      </c>
      <c r="J188" s="21">
        <f>IF(TbRegistrosSaida[[#This Row],[Data do Caixa Realizado]]="",0,YEAR(TbRegistrosSaida[[#This Row],[Data do Caixa Realizado]]))</f>
        <v>2019</v>
      </c>
      <c r="K188" s="21">
        <f>IF(TbRegistrosSaida[[#This Row],[Data da Competência]]="",0,MONTH(TbRegistrosSaida[[#This Row],[Data da Competência]]))</f>
        <v>2</v>
      </c>
      <c r="L188" s="21">
        <f>IF(TbRegistrosSaida[[#This Row],[Data da Competência]]="",0,YEAR(TbRegistrosSaida[[#This Row],[Data da Competência]]))</f>
        <v>2019</v>
      </c>
      <c r="M188" s="57">
        <f>IF(TbRegistrosSaida[[#This Row],[Data do Caixa Previsto]]="",0,MONTH(TbRegistrosSaida[[#This Row],[Data do Caixa Previsto]]))</f>
        <v>2</v>
      </c>
      <c r="N188" s="58">
        <f>IF(TbRegistrosSaida[[#This Row],[Data do Caixa Previsto]]="",0,YEAR(TbRegistrosSaida[[#This Row],[Data do Caixa Previsto]]))</f>
        <v>2019</v>
      </c>
      <c r="O188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9" spans="2:15" x14ac:dyDescent="0.25">
      <c r="B189" s="20">
        <v>43555.285152896111</v>
      </c>
      <c r="C189" s="20">
        <v>43508</v>
      </c>
      <c r="D189" s="20">
        <v>43555.285152896111</v>
      </c>
      <c r="E189" s="21" t="s">
        <v>16</v>
      </c>
      <c r="F189" s="21" t="s">
        <v>3</v>
      </c>
      <c r="G189" s="21" t="s">
        <v>489</v>
      </c>
      <c r="H189" s="25">
        <v>3695</v>
      </c>
      <c r="I189" s="21">
        <f>IF(TbRegistrosSaida[[#This Row],[Data do Caixa Realizado]]="",0,MONTH(TbRegistrosSaida[[#This Row],[Data do Caixa Realizado]]))</f>
        <v>3</v>
      </c>
      <c r="J189" s="21">
        <f>IF(TbRegistrosSaida[[#This Row],[Data do Caixa Realizado]]="",0,YEAR(TbRegistrosSaida[[#This Row],[Data do Caixa Realizado]]))</f>
        <v>2019</v>
      </c>
      <c r="K189" s="21">
        <f>IF(TbRegistrosSaida[[#This Row],[Data da Competência]]="",0,MONTH(TbRegistrosSaida[[#This Row],[Data da Competência]]))</f>
        <v>2</v>
      </c>
      <c r="L189" s="21">
        <f>IF(TbRegistrosSaida[[#This Row],[Data da Competência]]="",0,YEAR(TbRegistrosSaida[[#This Row],[Data da Competência]]))</f>
        <v>2019</v>
      </c>
      <c r="M189" s="57">
        <f>IF(TbRegistrosSaida[[#This Row],[Data do Caixa Previsto]]="",0,MONTH(TbRegistrosSaida[[#This Row],[Data do Caixa Previsto]]))</f>
        <v>3</v>
      </c>
      <c r="N189" s="58">
        <f>IF(TbRegistrosSaida[[#This Row],[Data do Caixa Previsto]]="",0,YEAR(TbRegistrosSaida[[#This Row],[Data do Caixa Previsto]]))</f>
        <v>2019</v>
      </c>
      <c r="O189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0" spans="2:15" x14ac:dyDescent="0.25">
      <c r="B190" s="20">
        <v>43619.877278489352</v>
      </c>
      <c r="C190" s="20">
        <v>43517</v>
      </c>
      <c r="D190" s="20">
        <v>43548.006375386678</v>
      </c>
      <c r="E190" s="21" t="s">
        <v>16</v>
      </c>
      <c r="F190" s="21" t="s">
        <v>49</v>
      </c>
      <c r="G190" s="21" t="s">
        <v>490</v>
      </c>
      <c r="H190" s="25">
        <v>4148</v>
      </c>
      <c r="I190" s="21">
        <f>IF(TbRegistrosSaida[[#This Row],[Data do Caixa Realizado]]="",0,MONTH(TbRegistrosSaida[[#This Row],[Data do Caixa Realizado]]))</f>
        <v>6</v>
      </c>
      <c r="J190" s="21">
        <f>IF(TbRegistrosSaida[[#This Row],[Data do Caixa Realizado]]="",0,YEAR(TbRegistrosSaida[[#This Row],[Data do Caixa Realizado]]))</f>
        <v>2019</v>
      </c>
      <c r="K190" s="21">
        <f>IF(TbRegistrosSaida[[#This Row],[Data da Competência]]="",0,MONTH(TbRegistrosSaida[[#This Row],[Data da Competência]]))</f>
        <v>2</v>
      </c>
      <c r="L190" s="21">
        <f>IF(TbRegistrosSaida[[#This Row],[Data da Competência]]="",0,YEAR(TbRegistrosSaida[[#This Row],[Data da Competência]]))</f>
        <v>2019</v>
      </c>
      <c r="M190" s="57">
        <f>IF(TbRegistrosSaida[[#This Row],[Data do Caixa Previsto]]="",0,MONTH(TbRegistrosSaida[[#This Row],[Data do Caixa Previsto]]))</f>
        <v>3</v>
      </c>
      <c r="N190" s="58">
        <f>IF(TbRegistrosSaida[[#This Row],[Data do Caixa Previsto]]="",0,YEAR(TbRegistrosSaida[[#This Row],[Data do Caixa Previsto]]))</f>
        <v>2019</v>
      </c>
      <c r="O190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71.870903102673765</v>
      </c>
    </row>
    <row r="191" spans="2:15" x14ac:dyDescent="0.25">
      <c r="B191" s="20">
        <v>43566.482468635586</v>
      </c>
      <c r="C191" s="20">
        <v>43521</v>
      </c>
      <c r="D191" s="20">
        <v>43553.920091748245</v>
      </c>
      <c r="E191" s="21" t="s">
        <v>16</v>
      </c>
      <c r="F191" s="21" t="s">
        <v>77</v>
      </c>
      <c r="G191" s="21" t="s">
        <v>491</v>
      </c>
      <c r="H191" s="25">
        <v>4303</v>
      </c>
      <c r="I191" s="21">
        <f>IF(TbRegistrosSaida[[#This Row],[Data do Caixa Realizado]]="",0,MONTH(TbRegistrosSaida[[#This Row],[Data do Caixa Realizado]]))</f>
        <v>4</v>
      </c>
      <c r="J191" s="21">
        <f>IF(TbRegistrosSaida[[#This Row],[Data do Caixa Realizado]]="",0,YEAR(TbRegistrosSaida[[#This Row],[Data do Caixa Realizado]]))</f>
        <v>2019</v>
      </c>
      <c r="K191" s="21">
        <f>IF(TbRegistrosSaida[[#This Row],[Data da Competência]]="",0,MONTH(TbRegistrosSaida[[#This Row],[Data da Competência]]))</f>
        <v>2</v>
      </c>
      <c r="L191" s="21">
        <f>IF(TbRegistrosSaida[[#This Row],[Data da Competência]]="",0,YEAR(TbRegistrosSaida[[#This Row],[Data da Competência]]))</f>
        <v>2019</v>
      </c>
      <c r="M191" s="57">
        <f>IF(TbRegistrosSaida[[#This Row],[Data do Caixa Previsto]]="",0,MONTH(TbRegistrosSaida[[#This Row],[Data do Caixa Previsto]]))</f>
        <v>3</v>
      </c>
      <c r="N191" s="58">
        <f>IF(TbRegistrosSaida[[#This Row],[Data do Caixa Previsto]]="",0,YEAR(TbRegistrosSaida[[#This Row],[Data do Caixa Previsto]]))</f>
        <v>2019</v>
      </c>
      <c r="O191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12.562376887341088</v>
      </c>
    </row>
    <row r="192" spans="2:15" x14ac:dyDescent="0.25">
      <c r="B192" s="20">
        <v>43531.738180250693</v>
      </c>
      <c r="C192" s="20">
        <v>43523</v>
      </c>
      <c r="D192" s="20">
        <v>43531.738180250693</v>
      </c>
      <c r="E192" s="21" t="s">
        <v>16</v>
      </c>
      <c r="F192" s="21" t="s">
        <v>5</v>
      </c>
      <c r="G192" s="21" t="s">
        <v>492</v>
      </c>
      <c r="H192" s="25">
        <v>2674</v>
      </c>
      <c r="I192" s="21">
        <f>IF(TbRegistrosSaida[[#This Row],[Data do Caixa Realizado]]="",0,MONTH(TbRegistrosSaida[[#This Row],[Data do Caixa Realizado]]))</f>
        <v>3</v>
      </c>
      <c r="J192" s="21">
        <f>IF(TbRegistrosSaida[[#This Row],[Data do Caixa Realizado]]="",0,YEAR(TbRegistrosSaida[[#This Row],[Data do Caixa Realizado]]))</f>
        <v>2019</v>
      </c>
      <c r="K192" s="21">
        <f>IF(TbRegistrosSaida[[#This Row],[Data da Competência]]="",0,MONTH(TbRegistrosSaida[[#This Row],[Data da Competência]]))</f>
        <v>2</v>
      </c>
      <c r="L192" s="21">
        <f>IF(TbRegistrosSaida[[#This Row],[Data da Competência]]="",0,YEAR(TbRegistrosSaida[[#This Row],[Data da Competência]]))</f>
        <v>2019</v>
      </c>
      <c r="M192" s="57">
        <f>IF(TbRegistrosSaida[[#This Row],[Data do Caixa Previsto]]="",0,MONTH(TbRegistrosSaida[[#This Row],[Data do Caixa Previsto]]))</f>
        <v>3</v>
      </c>
      <c r="N192" s="58">
        <f>IF(TbRegistrosSaida[[#This Row],[Data do Caixa Previsto]]="",0,YEAR(TbRegistrosSaida[[#This Row],[Data do Caixa Previsto]]))</f>
        <v>2019</v>
      </c>
      <c r="O192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3" spans="2:15" x14ac:dyDescent="0.25">
      <c r="B193" s="20">
        <v>43569.835590824536</v>
      </c>
      <c r="C193" s="20">
        <v>43526</v>
      </c>
      <c r="D193" s="20">
        <v>43569.835590824536</v>
      </c>
      <c r="E193" s="21" t="s">
        <v>16</v>
      </c>
      <c r="F193" s="21" t="s">
        <v>17</v>
      </c>
      <c r="G193" s="21" t="s">
        <v>493</v>
      </c>
      <c r="H193" s="25">
        <v>1720</v>
      </c>
      <c r="I193" s="21">
        <f>IF(TbRegistrosSaida[[#This Row],[Data do Caixa Realizado]]="",0,MONTH(TbRegistrosSaida[[#This Row],[Data do Caixa Realizado]]))</f>
        <v>4</v>
      </c>
      <c r="J193" s="21">
        <f>IF(TbRegistrosSaida[[#This Row],[Data do Caixa Realizado]]="",0,YEAR(TbRegistrosSaida[[#This Row],[Data do Caixa Realizado]]))</f>
        <v>2019</v>
      </c>
      <c r="K193" s="21">
        <f>IF(TbRegistrosSaida[[#This Row],[Data da Competência]]="",0,MONTH(TbRegistrosSaida[[#This Row],[Data da Competência]]))</f>
        <v>3</v>
      </c>
      <c r="L193" s="21">
        <f>IF(TbRegistrosSaida[[#This Row],[Data da Competência]]="",0,YEAR(TbRegistrosSaida[[#This Row],[Data da Competência]]))</f>
        <v>2019</v>
      </c>
      <c r="M193" s="57">
        <f>IF(TbRegistrosSaida[[#This Row],[Data do Caixa Previsto]]="",0,MONTH(TbRegistrosSaida[[#This Row],[Data do Caixa Previsto]]))</f>
        <v>4</v>
      </c>
      <c r="N193" s="58">
        <f>IF(TbRegistrosSaida[[#This Row],[Data do Caixa Previsto]]="",0,YEAR(TbRegistrosSaida[[#This Row],[Data do Caixa Previsto]]))</f>
        <v>2019</v>
      </c>
      <c r="O193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4" spans="2:15" x14ac:dyDescent="0.25">
      <c r="B194" s="20">
        <v>43567.757979105008</v>
      </c>
      <c r="C194" s="20">
        <v>43530</v>
      </c>
      <c r="D194" s="20">
        <v>43567.757979105008</v>
      </c>
      <c r="E194" s="21" t="s">
        <v>16</v>
      </c>
      <c r="F194" s="21" t="s">
        <v>17</v>
      </c>
      <c r="G194" s="21" t="s">
        <v>494</v>
      </c>
      <c r="H194" s="25">
        <v>1854</v>
      </c>
      <c r="I194" s="21">
        <f>IF(TbRegistrosSaida[[#This Row],[Data do Caixa Realizado]]="",0,MONTH(TbRegistrosSaida[[#This Row],[Data do Caixa Realizado]]))</f>
        <v>4</v>
      </c>
      <c r="J194" s="21">
        <f>IF(TbRegistrosSaida[[#This Row],[Data do Caixa Realizado]]="",0,YEAR(TbRegistrosSaida[[#This Row],[Data do Caixa Realizado]]))</f>
        <v>2019</v>
      </c>
      <c r="K194" s="21">
        <f>IF(TbRegistrosSaida[[#This Row],[Data da Competência]]="",0,MONTH(TbRegistrosSaida[[#This Row],[Data da Competência]]))</f>
        <v>3</v>
      </c>
      <c r="L194" s="21">
        <f>IF(TbRegistrosSaida[[#This Row],[Data da Competência]]="",0,YEAR(TbRegistrosSaida[[#This Row],[Data da Competência]]))</f>
        <v>2019</v>
      </c>
      <c r="M194" s="57">
        <f>IF(TbRegistrosSaida[[#This Row],[Data do Caixa Previsto]]="",0,MONTH(TbRegistrosSaida[[#This Row],[Data do Caixa Previsto]]))</f>
        <v>4</v>
      </c>
      <c r="N194" s="58">
        <f>IF(TbRegistrosSaida[[#This Row],[Data do Caixa Previsto]]="",0,YEAR(TbRegistrosSaida[[#This Row],[Data do Caixa Previsto]]))</f>
        <v>2019</v>
      </c>
      <c r="O194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5" spans="2:15" x14ac:dyDescent="0.25">
      <c r="B195" s="20">
        <v>43535.079288493936</v>
      </c>
      <c r="C195" s="20">
        <v>43532</v>
      </c>
      <c r="D195" s="20">
        <v>43535.079288493936</v>
      </c>
      <c r="E195" s="21" t="s">
        <v>16</v>
      </c>
      <c r="F195" s="21" t="s">
        <v>77</v>
      </c>
      <c r="G195" s="21" t="s">
        <v>495</v>
      </c>
      <c r="H195" s="25">
        <v>2568</v>
      </c>
      <c r="I195" s="21">
        <f>IF(TbRegistrosSaida[[#This Row],[Data do Caixa Realizado]]="",0,MONTH(TbRegistrosSaida[[#This Row],[Data do Caixa Realizado]]))</f>
        <v>3</v>
      </c>
      <c r="J195" s="21">
        <f>IF(TbRegistrosSaida[[#This Row],[Data do Caixa Realizado]]="",0,YEAR(TbRegistrosSaida[[#This Row],[Data do Caixa Realizado]]))</f>
        <v>2019</v>
      </c>
      <c r="K195" s="21">
        <f>IF(TbRegistrosSaida[[#This Row],[Data da Competência]]="",0,MONTH(TbRegistrosSaida[[#This Row],[Data da Competência]]))</f>
        <v>3</v>
      </c>
      <c r="L195" s="21">
        <f>IF(TbRegistrosSaida[[#This Row],[Data da Competência]]="",0,YEAR(TbRegistrosSaida[[#This Row],[Data da Competência]]))</f>
        <v>2019</v>
      </c>
      <c r="M195" s="57">
        <f>IF(TbRegistrosSaida[[#This Row],[Data do Caixa Previsto]]="",0,MONTH(TbRegistrosSaida[[#This Row],[Data do Caixa Previsto]]))</f>
        <v>3</v>
      </c>
      <c r="N195" s="58">
        <f>IF(TbRegistrosSaida[[#This Row],[Data do Caixa Previsto]]="",0,YEAR(TbRegistrosSaida[[#This Row],[Data do Caixa Previsto]]))</f>
        <v>2019</v>
      </c>
      <c r="O195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6" spans="2:15" x14ac:dyDescent="0.25">
      <c r="B196" s="20">
        <v>43572.596134843683</v>
      </c>
      <c r="C196" s="20">
        <v>43532</v>
      </c>
      <c r="D196" s="20">
        <v>43572.596134843683</v>
      </c>
      <c r="E196" s="21" t="s">
        <v>16</v>
      </c>
      <c r="F196" s="21" t="s">
        <v>77</v>
      </c>
      <c r="G196" s="21" t="s">
        <v>496</v>
      </c>
      <c r="H196" s="25">
        <v>3690</v>
      </c>
      <c r="I196" s="21">
        <f>IF(TbRegistrosSaida[[#This Row],[Data do Caixa Realizado]]="",0,MONTH(TbRegistrosSaida[[#This Row],[Data do Caixa Realizado]]))</f>
        <v>4</v>
      </c>
      <c r="J196" s="21">
        <f>IF(TbRegistrosSaida[[#This Row],[Data do Caixa Realizado]]="",0,YEAR(TbRegistrosSaida[[#This Row],[Data do Caixa Realizado]]))</f>
        <v>2019</v>
      </c>
      <c r="K196" s="21">
        <f>IF(TbRegistrosSaida[[#This Row],[Data da Competência]]="",0,MONTH(TbRegistrosSaida[[#This Row],[Data da Competência]]))</f>
        <v>3</v>
      </c>
      <c r="L196" s="21">
        <f>IF(TbRegistrosSaida[[#This Row],[Data da Competência]]="",0,YEAR(TbRegistrosSaida[[#This Row],[Data da Competência]]))</f>
        <v>2019</v>
      </c>
      <c r="M196" s="57">
        <f>IF(TbRegistrosSaida[[#This Row],[Data do Caixa Previsto]]="",0,MONTH(TbRegistrosSaida[[#This Row],[Data do Caixa Previsto]]))</f>
        <v>4</v>
      </c>
      <c r="N196" s="58">
        <f>IF(TbRegistrosSaida[[#This Row],[Data do Caixa Previsto]]="",0,YEAR(TbRegistrosSaida[[#This Row],[Data do Caixa Previsto]]))</f>
        <v>2019</v>
      </c>
      <c r="O196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7" spans="2:15" x14ac:dyDescent="0.25">
      <c r="B197" s="20">
        <v>43621.515266358365</v>
      </c>
      <c r="C197" s="20">
        <v>43534</v>
      </c>
      <c r="D197" s="20">
        <v>43570.539022448429</v>
      </c>
      <c r="E197" s="21" t="s">
        <v>16</v>
      </c>
      <c r="F197" s="21" t="s">
        <v>49</v>
      </c>
      <c r="G197" s="21" t="s">
        <v>497</v>
      </c>
      <c r="H197" s="25">
        <v>3746</v>
      </c>
      <c r="I197" s="21">
        <f>IF(TbRegistrosSaida[[#This Row],[Data do Caixa Realizado]]="",0,MONTH(TbRegistrosSaida[[#This Row],[Data do Caixa Realizado]]))</f>
        <v>6</v>
      </c>
      <c r="J197" s="21">
        <f>IF(TbRegistrosSaida[[#This Row],[Data do Caixa Realizado]]="",0,YEAR(TbRegistrosSaida[[#This Row],[Data do Caixa Realizado]]))</f>
        <v>2019</v>
      </c>
      <c r="K197" s="21">
        <f>IF(TbRegistrosSaida[[#This Row],[Data da Competência]]="",0,MONTH(TbRegistrosSaida[[#This Row],[Data da Competência]]))</f>
        <v>3</v>
      </c>
      <c r="L197" s="21">
        <f>IF(TbRegistrosSaida[[#This Row],[Data da Competência]]="",0,YEAR(TbRegistrosSaida[[#This Row],[Data da Competência]]))</f>
        <v>2019</v>
      </c>
      <c r="M197" s="57">
        <f>IF(TbRegistrosSaida[[#This Row],[Data do Caixa Previsto]]="",0,MONTH(TbRegistrosSaida[[#This Row],[Data do Caixa Previsto]]))</f>
        <v>4</v>
      </c>
      <c r="N197" s="58">
        <f>IF(TbRegistrosSaida[[#This Row],[Data do Caixa Previsto]]="",0,YEAR(TbRegistrosSaida[[#This Row],[Data do Caixa Previsto]]))</f>
        <v>2019</v>
      </c>
      <c r="O197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50.976243909935874</v>
      </c>
    </row>
    <row r="198" spans="2:15" x14ac:dyDescent="0.25">
      <c r="B198" s="20">
        <v>43571.740759038665</v>
      </c>
      <c r="C198" s="20">
        <v>43536</v>
      </c>
      <c r="D198" s="20">
        <v>43571.740759038665</v>
      </c>
      <c r="E198" s="21" t="s">
        <v>16</v>
      </c>
      <c r="F198" s="21" t="s">
        <v>17</v>
      </c>
      <c r="G198" s="21" t="s">
        <v>498</v>
      </c>
      <c r="H198" s="25">
        <v>4360</v>
      </c>
      <c r="I198" s="21">
        <f>IF(TbRegistrosSaida[[#This Row],[Data do Caixa Realizado]]="",0,MONTH(TbRegistrosSaida[[#This Row],[Data do Caixa Realizado]]))</f>
        <v>4</v>
      </c>
      <c r="J198" s="21">
        <f>IF(TbRegistrosSaida[[#This Row],[Data do Caixa Realizado]]="",0,YEAR(TbRegistrosSaida[[#This Row],[Data do Caixa Realizado]]))</f>
        <v>2019</v>
      </c>
      <c r="K198" s="21">
        <f>IF(TbRegistrosSaida[[#This Row],[Data da Competência]]="",0,MONTH(TbRegistrosSaida[[#This Row],[Data da Competência]]))</f>
        <v>3</v>
      </c>
      <c r="L198" s="21">
        <f>IF(TbRegistrosSaida[[#This Row],[Data da Competência]]="",0,YEAR(TbRegistrosSaida[[#This Row],[Data da Competência]]))</f>
        <v>2019</v>
      </c>
      <c r="M198" s="57">
        <f>IF(TbRegistrosSaida[[#This Row],[Data do Caixa Previsto]]="",0,MONTH(TbRegistrosSaida[[#This Row],[Data do Caixa Previsto]]))</f>
        <v>4</v>
      </c>
      <c r="N198" s="58">
        <f>IF(TbRegistrosSaida[[#This Row],[Data do Caixa Previsto]]="",0,YEAR(TbRegistrosSaida[[#This Row],[Data do Caixa Previsto]]))</f>
        <v>2019</v>
      </c>
      <c r="O198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9" spans="2:15" hidden="1" x14ac:dyDescent="0.25">
      <c r="B199" s="20" t="s">
        <v>92</v>
      </c>
      <c r="C199" s="20">
        <v>43537</v>
      </c>
      <c r="D199" s="20">
        <v>43576.376924808807</v>
      </c>
      <c r="E199" s="21" t="s">
        <v>16</v>
      </c>
      <c r="F199" s="21" t="s">
        <v>49</v>
      </c>
      <c r="G199" s="21" t="s">
        <v>499</v>
      </c>
      <c r="H199" s="25">
        <v>1753</v>
      </c>
      <c r="I199" s="21">
        <f>IF(TbRegistrosSaida[[#This Row],[Data do Caixa Realizado]]="",0,MONTH(TbRegistrosSaida[[#This Row],[Data do Caixa Realizado]]))</f>
        <v>0</v>
      </c>
      <c r="J199" s="21">
        <f>IF(TbRegistrosSaida[[#This Row],[Data do Caixa Realizado]]="",0,YEAR(TbRegistrosSaida[[#This Row],[Data do Caixa Realizado]]))</f>
        <v>0</v>
      </c>
      <c r="K199" s="21">
        <f>IF(TbRegistrosSaida[[#This Row],[Data da Competência]]="",0,MONTH(TbRegistrosSaida[[#This Row],[Data da Competência]]))</f>
        <v>3</v>
      </c>
      <c r="L199" s="21">
        <f>IF(TbRegistrosSaida[[#This Row],[Data da Competência]]="",0,YEAR(TbRegistrosSaida[[#This Row],[Data da Competência]]))</f>
        <v>2019</v>
      </c>
      <c r="M199" s="57">
        <f>IF(TbRegistrosSaida[[#This Row],[Data do Caixa Previsto]]="",0,MONTH(TbRegistrosSaida[[#This Row],[Data do Caixa Previsto]]))</f>
        <v>4</v>
      </c>
      <c r="N199" s="58">
        <f>IF(TbRegistrosSaida[[#This Row],[Data do Caixa Previsto]]="",0,YEAR(TbRegistrosSaida[[#This Row],[Data do Caixa Previsto]]))</f>
        <v>2019</v>
      </c>
      <c r="O19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1817.6230751911935</v>
      </c>
    </row>
    <row r="200" spans="2:15" x14ac:dyDescent="0.25">
      <c r="B200" s="20">
        <v>43543.657350348039</v>
      </c>
      <c r="C200" s="20">
        <v>43540</v>
      </c>
      <c r="D200" s="20">
        <v>43543.657350348039</v>
      </c>
      <c r="E200" s="21" t="s">
        <v>16</v>
      </c>
      <c r="F200" s="21" t="s">
        <v>17</v>
      </c>
      <c r="G200" s="21" t="s">
        <v>500</v>
      </c>
      <c r="H200" s="25">
        <v>1421</v>
      </c>
      <c r="I200" s="21">
        <f>IF(TbRegistrosSaida[[#This Row],[Data do Caixa Realizado]]="",0,MONTH(TbRegistrosSaida[[#This Row],[Data do Caixa Realizado]]))</f>
        <v>3</v>
      </c>
      <c r="J200" s="21">
        <f>IF(TbRegistrosSaida[[#This Row],[Data do Caixa Realizado]]="",0,YEAR(TbRegistrosSaida[[#This Row],[Data do Caixa Realizado]]))</f>
        <v>2019</v>
      </c>
      <c r="K200" s="21">
        <f>IF(TbRegistrosSaida[[#This Row],[Data da Competência]]="",0,MONTH(TbRegistrosSaida[[#This Row],[Data da Competência]]))</f>
        <v>3</v>
      </c>
      <c r="L200" s="21">
        <f>IF(TbRegistrosSaida[[#This Row],[Data da Competência]]="",0,YEAR(TbRegistrosSaida[[#This Row],[Data da Competência]]))</f>
        <v>2019</v>
      </c>
      <c r="M200" s="57">
        <f>IF(TbRegistrosSaida[[#This Row],[Data do Caixa Previsto]]="",0,MONTH(TbRegistrosSaida[[#This Row],[Data do Caixa Previsto]]))</f>
        <v>3</v>
      </c>
      <c r="N200" s="58">
        <f>IF(TbRegistrosSaida[[#This Row],[Data do Caixa Previsto]]="",0,YEAR(TbRegistrosSaida[[#This Row],[Data do Caixa Previsto]]))</f>
        <v>2019</v>
      </c>
      <c r="O200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1" spans="2:15" x14ac:dyDescent="0.25">
      <c r="B201" s="20">
        <v>43566.33302641497</v>
      </c>
      <c r="C201" s="20">
        <v>43543</v>
      </c>
      <c r="D201" s="20">
        <v>43566.33302641497</v>
      </c>
      <c r="E201" s="21" t="s">
        <v>16</v>
      </c>
      <c r="F201" s="21" t="s">
        <v>49</v>
      </c>
      <c r="G201" s="21" t="s">
        <v>501</v>
      </c>
      <c r="H201" s="25">
        <v>3565</v>
      </c>
      <c r="I201" s="21">
        <f>IF(TbRegistrosSaida[[#This Row],[Data do Caixa Realizado]]="",0,MONTH(TbRegistrosSaida[[#This Row],[Data do Caixa Realizado]]))</f>
        <v>4</v>
      </c>
      <c r="J201" s="21">
        <f>IF(TbRegistrosSaida[[#This Row],[Data do Caixa Realizado]]="",0,YEAR(TbRegistrosSaida[[#This Row],[Data do Caixa Realizado]]))</f>
        <v>2019</v>
      </c>
      <c r="K201" s="21">
        <f>IF(TbRegistrosSaida[[#This Row],[Data da Competência]]="",0,MONTH(TbRegistrosSaida[[#This Row],[Data da Competência]]))</f>
        <v>3</v>
      </c>
      <c r="L201" s="21">
        <f>IF(TbRegistrosSaida[[#This Row],[Data da Competência]]="",0,YEAR(TbRegistrosSaida[[#This Row],[Data da Competência]]))</f>
        <v>2019</v>
      </c>
      <c r="M201" s="57">
        <f>IF(TbRegistrosSaida[[#This Row],[Data do Caixa Previsto]]="",0,MONTH(TbRegistrosSaida[[#This Row],[Data do Caixa Previsto]]))</f>
        <v>4</v>
      </c>
      <c r="N201" s="58">
        <f>IF(TbRegistrosSaida[[#This Row],[Data do Caixa Previsto]]="",0,YEAR(TbRegistrosSaida[[#This Row],[Data do Caixa Previsto]]))</f>
        <v>2019</v>
      </c>
      <c r="O201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2" spans="2:15" x14ac:dyDescent="0.25">
      <c r="B202" s="20">
        <v>43663.382687512385</v>
      </c>
      <c r="C202" s="20">
        <v>43546</v>
      </c>
      <c r="D202" s="20">
        <v>43586.481925868669</v>
      </c>
      <c r="E202" s="21" t="s">
        <v>16</v>
      </c>
      <c r="F202" s="21" t="s">
        <v>77</v>
      </c>
      <c r="G202" s="21" t="s">
        <v>502</v>
      </c>
      <c r="H202" s="25">
        <v>1961</v>
      </c>
      <c r="I202" s="21">
        <f>IF(TbRegistrosSaida[[#This Row],[Data do Caixa Realizado]]="",0,MONTH(TbRegistrosSaida[[#This Row],[Data do Caixa Realizado]]))</f>
        <v>7</v>
      </c>
      <c r="J202" s="21">
        <f>IF(TbRegistrosSaida[[#This Row],[Data do Caixa Realizado]]="",0,YEAR(TbRegistrosSaida[[#This Row],[Data do Caixa Realizado]]))</f>
        <v>2019</v>
      </c>
      <c r="K202" s="21">
        <f>IF(TbRegistrosSaida[[#This Row],[Data da Competência]]="",0,MONTH(TbRegistrosSaida[[#This Row],[Data da Competência]]))</f>
        <v>3</v>
      </c>
      <c r="L202" s="21">
        <f>IF(TbRegistrosSaida[[#This Row],[Data da Competência]]="",0,YEAR(TbRegistrosSaida[[#This Row],[Data da Competência]]))</f>
        <v>2019</v>
      </c>
      <c r="M202" s="57">
        <f>IF(TbRegistrosSaida[[#This Row],[Data do Caixa Previsto]]="",0,MONTH(TbRegistrosSaida[[#This Row],[Data do Caixa Previsto]]))</f>
        <v>5</v>
      </c>
      <c r="N202" s="58">
        <f>IF(TbRegistrosSaida[[#This Row],[Data do Caixa Previsto]]="",0,YEAR(TbRegistrosSaida[[#This Row],[Data do Caixa Previsto]]))</f>
        <v>2019</v>
      </c>
      <c r="O202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76.900761643715668</v>
      </c>
    </row>
    <row r="203" spans="2:15" x14ac:dyDescent="0.25">
      <c r="B203" s="20">
        <v>43570.097263655982</v>
      </c>
      <c r="C203" s="20">
        <v>43551</v>
      </c>
      <c r="D203" s="20">
        <v>43557.083579079888</v>
      </c>
      <c r="E203" s="21" t="s">
        <v>16</v>
      </c>
      <c r="F203" s="21" t="s">
        <v>5</v>
      </c>
      <c r="G203" s="21" t="s">
        <v>503</v>
      </c>
      <c r="H203" s="25">
        <v>4854</v>
      </c>
      <c r="I203" s="21">
        <f>IF(TbRegistrosSaida[[#This Row],[Data do Caixa Realizado]]="",0,MONTH(TbRegistrosSaida[[#This Row],[Data do Caixa Realizado]]))</f>
        <v>4</v>
      </c>
      <c r="J203" s="21">
        <f>IF(TbRegistrosSaida[[#This Row],[Data do Caixa Realizado]]="",0,YEAR(TbRegistrosSaida[[#This Row],[Data do Caixa Realizado]]))</f>
        <v>2019</v>
      </c>
      <c r="K203" s="21">
        <f>IF(TbRegistrosSaida[[#This Row],[Data da Competência]]="",0,MONTH(TbRegistrosSaida[[#This Row],[Data da Competência]]))</f>
        <v>3</v>
      </c>
      <c r="L203" s="21">
        <f>IF(TbRegistrosSaida[[#This Row],[Data da Competência]]="",0,YEAR(TbRegistrosSaida[[#This Row],[Data da Competência]]))</f>
        <v>2019</v>
      </c>
      <c r="M203" s="57">
        <f>IF(TbRegistrosSaida[[#This Row],[Data do Caixa Previsto]]="",0,MONTH(TbRegistrosSaida[[#This Row],[Data do Caixa Previsto]]))</f>
        <v>4</v>
      </c>
      <c r="N203" s="58">
        <f>IF(TbRegistrosSaida[[#This Row],[Data do Caixa Previsto]]="",0,YEAR(TbRegistrosSaida[[#This Row],[Data do Caixa Previsto]]))</f>
        <v>2019</v>
      </c>
      <c r="O203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13.01368457609351</v>
      </c>
    </row>
    <row r="204" spans="2:15" x14ac:dyDescent="0.25">
      <c r="B204" s="20">
        <v>43578.736317775256</v>
      </c>
      <c r="C204" s="20">
        <v>43557</v>
      </c>
      <c r="D204" s="20">
        <v>43578.736317775256</v>
      </c>
      <c r="E204" s="21" t="s">
        <v>16</v>
      </c>
      <c r="F204" s="21" t="s">
        <v>17</v>
      </c>
      <c r="G204" s="21" t="s">
        <v>504</v>
      </c>
      <c r="H204" s="25">
        <v>3453</v>
      </c>
      <c r="I204" s="21">
        <f>IF(TbRegistrosSaida[[#This Row],[Data do Caixa Realizado]]="",0,MONTH(TbRegistrosSaida[[#This Row],[Data do Caixa Realizado]]))</f>
        <v>4</v>
      </c>
      <c r="J204" s="21">
        <f>IF(TbRegistrosSaida[[#This Row],[Data do Caixa Realizado]]="",0,YEAR(TbRegistrosSaida[[#This Row],[Data do Caixa Realizado]]))</f>
        <v>2019</v>
      </c>
      <c r="K204" s="21">
        <f>IF(TbRegistrosSaida[[#This Row],[Data da Competência]]="",0,MONTH(TbRegistrosSaida[[#This Row],[Data da Competência]]))</f>
        <v>4</v>
      </c>
      <c r="L204" s="21">
        <f>IF(TbRegistrosSaida[[#This Row],[Data da Competência]]="",0,YEAR(TbRegistrosSaida[[#This Row],[Data da Competência]]))</f>
        <v>2019</v>
      </c>
      <c r="M204" s="57">
        <f>IF(TbRegistrosSaida[[#This Row],[Data do Caixa Previsto]]="",0,MONTH(TbRegistrosSaida[[#This Row],[Data do Caixa Previsto]]))</f>
        <v>4</v>
      </c>
      <c r="N204" s="58">
        <f>IF(TbRegistrosSaida[[#This Row],[Data do Caixa Previsto]]="",0,YEAR(TbRegistrosSaida[[#This Row],[Data do Caixa Previsto]]))</f>
        <v>2019</v>
      </c>
      <c r="O204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5" spans="2:15" x14ac:dyDescent="0.25">
      <c r="B205" s="20">
        <v>43575.110312084966</v>
      </c>
      <c r="C205" s="20">
        <v>43558</v>
      </c>
      <c r="D205" s="20">
        <v>43560.81847105785</v>
      </c>
      <c r="E205" s="21" t="s">
        <v>16</v>
      </c>
      <c r="F205" s="21" t="s">
        <v>77</v>
      </c>
      <c r="G205" s="21" t="s">
        <v>505</v>
      </c>
      <c r="H205" s="25">
        <v>3341</v>
      </c>
      <c r="I205" s="21">
        <f>IF(TbRegistrosSaida[[#This Row],[Data do Caixa Realizado]]="",0,MONTH(TbRegistrosSaida[[#This Row],[Data do Caixa Realizado]]))</f>
        <v>4</v>
      </c>
      <c r="J205" s="21">
        <f>IF(TbRegistrosSaida[[#This Row],[Data do Caixa Realizado]]="",0,YEAR(TbRegistrosSaida[[#This Row],[Data do Caixa Realizado]]))</f>
        <v>2019</v>
      </c>
      <c r="K205" s="21">
        <f>IF(TbRegistrosSaida[[#This Row],[Data da Competência]]="",0,MONTH(TbRegistrosSaida[[#This Row],[Data da Competência]]))</f>
        <v>4</v>
      </c>
      <c r="L205" s="21">
        <f>IF(TbRegistrosSaida[[#This Row],[Data da Competência]]="",0,YEAR(TbRegistrosSaida[[#This Row],[Data da Competência]]))</f>
        <v>2019</v>
      </c>
      <c r="M205" s="57">
        <f>IF(TbRegistrosSaida[[#This Row],[Data do Caixa Previsto]]="",0,MONTH(TbRegistrosSaida[[#This Row],[Data do Caixa Previsto]]))</f>
        <v>4</v>
      </c>
      <c r="N205" s="58">
        <f>IF(TbRegistrosSaida[[#This Row],[Data do Caixa Previsto]]="",0,YEAR(TbRegistrosSaida[[#This Row],[Data do Caixa Previsto]]))</f>
        <v>2019</v>
      </c>
      <c r="O205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14.291841027115879</v>
      </c>
    </row>
    <row r="206" spans="2:15" x14ac:dyDescent="0.25">
      <c r="B206" s="20">
        <v>43605.865431208142</v>
      </c>
      <c r="C206" s="20">
        <v>43561</v>
      </c>
      <c r="D206" s="20">
        <v>43605.865431208142</v>
      </c>
      <c r="E206" s="21" t="s">
        <v>16</v>
      </c>
      <c r="F206" s="21" t="s">
        <v>5</v>
      </c>
      <c r="G206" s="21" t="s">
        <v>506</v>
      </c>
      <c r="H206" s="25">
        <v>2707</v>
      </c>
      <c r="I206" s="21">
        <f>IF(TbRegistrosSaida[[#This Row],[Data do Caixa Realizado]]="",0,MONTH(TbRegistrosSaida[[#This Row],[Data do Caixa Realizado]]))</f>
        <v>5</v>
      </c>
      <c r="J206" s="21">
        <f>IF(TbRegistrosSaida[[#This Row],[Data do Caixa Realizado]]="",0,YEAR(TbRegistrosSaida[[#This Row],[Data do Caixa Realizado]]))</f>
        <v>2019</v>
      </c>
      <c r="K206" s="21">
        <f>IF(TbRegistrosSaida[[#This Row],[Data da Competência]]="",0,MONTH(TbRegistrosSaida[[#This Row],[Data da Competência]]))</f>
        <v>4</v>
      </c>
      <c r="L206" s="21">
        <f>IF(TbRegistrosSaida[[#This Row],[Data da Competência]]="",0,YEAR(TbRegistrosSaida[[#This Row],[Data da Competência]]))</f>
        <v>2019</v>
      </c>
      <c r="M206" s="57">
        <f>IF(TbRegistrosSaida[[#This Row],[Data do Caixa Previsto]]="",0,MONTH(TbRegistrosSaida[[#This Row],[Data do Caixa Previsto]]))</f>
        <v>5</v>
      </c>
      <c r="N206" s="58">
        <f>IF(TbRegistrosSaida[[#This Row],[Data do Caixa Previsto]]="",0,YEAR(TbRegistrosSaida[[#This Row],[Data do Caixa Previsto]]))</f>
        <v>2019</v>
      </c>
      <c r="O206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7" spans="2:15" x14ac:dyDescent="0.25">
      <c r="B207" s="20">
        <v>43603.683759744941</v>
      </c>
      <c r="C207" s="20">
        <v>43563</v>
      </c>
      <c r="D207" s="20">
        <v>43603.683759744941</v>
      </c>
      <c r="E207" s="21" t="s">
        <v>16</v>
      </c>
      <c r="F207" s="21" t="s">
        <v>77</v>
      </c>
      <c r="G207" s="21" t="s">
        <v>507</v>
      </c>
      <c r="H207" s="25">
        <v>1582</v>
      </c>
      <c r="I207" s="21">
        <f>IF(TbRegistrosSaida[[#This Row],[Data do Caixa Realizado]]="",0,MONTH(TbRegistrosSaida[[#This Row],[Data do Caixa Realizado]]))</f>
        <v>5</v>
      </c>
      <c r="J207" s="21">
        <f>IF(TbRegistrosSaida[[#This Row],[Data do Caixa Realizado]]="",0,YEAR(TbRegistrosSaida[[#This Row],[Data do Caixa Realizado]]))</f>
        <v>2019</v>
      </c>
      <c r="K207" s="21">
        <f>IF(TbRegistrosSaida[[#This Row],[Data da Competência]]="",0,MONTH(TbRegistrosSaida[[#This Row],[Data da Competência]]))</f>
        <v>4</v>
      </c>
      <c r="L207" s="21">
        <f>IF(TbRegistrosSaida[[#This Row],[Data da Competência]]="",0,YEAR(TbRegistrosSaida[[#This Row],[Data da Competência]]))</f>
        <v>2019</v>
      </c>
      <c r="M207" s="57">
        <f>IF(TbRegistrosSaida[[#This Row],[Data do Caixa Previsto]]="",0,MONTH(TbRegistrosSaida[[#This Row],[Data do Caixa Previsto]]))</f>
        <v>5</v>
      </c>
      <c r="N207" s="58">
        <f>IF(TbRegistrosSaida[[#This Row],[Data do Caixa Previsto]]="",0,YEAR(TbRegistrosSaida[[#This Row],[Data do Caixa Previsto]]))</f>
        <v>2019</v>
      </c>
      <c r="O207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8" spans="2:15" x14ac:dyDescent="0.25">
      <c r="B208" s="20">
        <v>43599.508668008042</v>
      </c>
      <c r="C208" s="20">
        <v>43565</v>
      </c>
      <c r="D208" s="20">
        <v>43599.508668008042</v>
      </c>
      <c r="E208" s="21" t="s">
        <v>16</v>
      </c>
      <c r="F208" s="21" t="s">
        <v>77</v>
      </c>
      <c r="G208" s="21" t="s">
        <v>508</v>
      </c>
      <c r="H208" s="25">
        <v>3889</v>
      </c>
      <c r="I208" s="21">
        <f>IF(TbRegistrosSaida[[#This Row],[Data do Caixa Realizado]]="",0,MONTH(TbRegistrosSaida[[#This Row],[Data do Caixa Realizado]]))</f>
        <v>5</v>
      </c>
      <c r="J208" s="21">
        <f>IF(TbRegistrosSaida[[#This Row],[Data do Caixa Realizado]]="",0,YEAR(TbRegistrosSaida[[#This Row],[Data do Caixa Realizado]]))</f>
        <v>2019</v>
      </c>
      <c r="K208" s="21">
        <f>IF(TbRegistrosSaida[[#This Row],[Data da Competência]]="",0,MONTH(TbRegistrosSaida[[#This Row],[Data da Competência]]))</f>
        <v>4</v>
      </c>
      <c r="L208" s="21">
        <f>IF(TbRegistrosSaida[[#This Row],[Data da Competência]]="",0,YEAR(TbRegistrosSaida[[#This Row],[Data da Competência]]))</f>
        <v>2019</v>
      </c>
      <c r="M208" s="57">
        <f>IF(TbRegistrosSaida[[#This Row],[Data do Caixa Previsto]]="",0,MONTH(TbRegistrosSaida[[#This Row],[Data do Caixa Previsto]]))</f>
        <v>5</v>
      </c>
      <c r="N208" s="58">
        <f>IF(TbRegistrosSaida[[#This Row],[Data do Caixa Previsto]]="",0,YEAR(TbRegistrosSaida[[#This Row],[Data do Caixa Previsto]]))</f>
        <v>2019</v>
      </c>
      <c r="O208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9" spans="2:15" x14ac:dyDescent="0.25">
      <c r="B209" s="20">
        <v>43584.569223583399</v>
      </c>
      <c r="C209" s="20">
        <v>43569</v>
      </c>
      <c r="D209" s="20">
        <v>43584.569223583399</v>
      </c>
      <c r="E209" s="21" t="s">
        <v>16</v>
      </c>
      <c r="F209" s="21" t="s">
        <v>77</v>
      </c>
      <c r="G209" s="21" t="s">
        <v>509</v>
      </c>
      <c r="H209" s="25">
        <v>2303</v>
      </c>
      <c r="I209" s="21">
        <f>IF(TbRegistrosSaida[[#This Row],[Data do Caixa Realizado]]="",0,MONTH(TbRegistrosSaida[[#This Row],[Data do Caixa Realizado]]))</f>
        <v>4</v>
      </c>
      <c r="J209" s="21">
        <f>IF(TbRegistrosSaida[[#This Row],[Data do Caixa Realizado]]="",0,YEAR(TbRegistrosSaida[[#This Row],[Data do Caixa Realizado]]))</f>
        <v>2019</v>
      </c>
      <c r="K209" s="21">
        <f>IF(TbRegistrosSaida[[#This Row],[Data da Competência]]="",0,MONTH(TbRegistrosSaida[[#This Row],[Data da Competência]]))</f>
        <v>4</v>
      </c>
      <c r="L209" s="21">
        <f>IF(TbRegistrosSaida[[#This Row],[Data da Competência]]="",0,YEAR(TbRegistrosSaida[[#This Row],[Data da Competência]]))</f>
        <v>2019</v>
      </c>
      <c r="M209" s="57">
        <f>IF(TbRegistrosSaida[[#This Row],[Data do Caixa Previsto]]="",0,MONTH(TbRegistrosSaida[[#This Row],[Data do Caixa Previsto]]))</f>
        <v>4</v>
      </c>
      <c r="N209" s="58">
        <f>IF(TbRegistrosSaida[[#This Row],[Data do Caixa Previsto]]="",0,YEAR(TbRegistrosSaida[[#This Row],[Data do Caixa Previsto]]))</f>
        <v>2019</v>
      </c>
      <c r="O209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0" spans="2:15" x14ac:dyDescent="0.25">
      <c r="B210" s="20">
        <v>43604.655561438565</v>
      </c>
      <c r="C210" s="20">
        <v>43572</v>
      </c>
      <c r="D210" s="20">
        <v>43604.655561438565</v>
      </c>
      <c r="E210" s="21" t="s">
        <v>16</v>
      </c>
      <c r="F210" s="21" t="s">
        <v>3</v>
      </c>
      <c r="G210" s="21" t="s">
        <v>510</v>
      </c>
      <c r="H210" s="25">
        <v>802</v>
      </c>
      <c r="I210" s="21">
        <f>IF(TbRegistrosSaida[[#This Row],[Data do Caixa Realizado]]="",0,MONTH(TbRegistrosSaida[[#This Row],[Data do Caixa Realizado]]))</f>
        <v>5</v>
      </c>
      <c r="J210" s="21">
        <f>IF(TbRegistrosSaida[[#This Row],[Data do Caixa Realizado]]="",0,YEAR(TbRegistrosSaida[[#This Row],[Data do Caixa Realizado]]))</f>
        <v>2019</v>
      </c>
      <c r="K210" s="21">
        <f>IF(TbRegistrosSaida[[#This Row],[Data da Competência]]="",0,MONTH(TbRegistrosSaida[[#This Row],[Data da Competência]]))</f>
        <v>4</v>
      </c>
      <c r="L210" s="21">
        <f>IF(TbRegistrosSaida[[#This Row],[Data da Competência]]="",0,YEAR(TbRegistrosSaida[[#This Row],[Data da Competência]]))</f>
        <v>2019</v>
      </c>
      <c r="M210" s="57">
        <f>IF(TbRegistrosSaida[[#This Row],[Data do Caixa Previsto]]="",0,MONTH(TbRegistrosSaida[[#This Row],[Data do Caixa Previsto]]))</f>
        <v>5</v>
      </c>
      <c r="N210" s="58">
        <f>IF(TbRegistrosSaida[[#This Row],[Data do Caixa Previsto]]="",0,YEAR(TbRegistrosSaida[[#This Row],[Data do Caixa Previsto]]))</f>
        <v>2019</v>
      </c>
      <c r="O210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1" spans="2:15" x14ac:dyDescent="0.25">
      <c r="B211" s="20">
        <v>43589.233184767916</v>
      </c>
      <c r="C211" s="20">
        <v>43574</v>
      </c>
      <c r="D211" s="20">
        <v>43589.233184767916</v>
      </c>
      <c r="E211" s="21" t="s">
        <v>16</v>
      </c>
      <c r="F211" s="21" t="s">
        <v>77</v>
      </c>
      <c r="G211" s="21" t="s">
        <v>511</v>
      </c>
      <c r="H211" s="25">
        <v>4513</v>
      </c>
      <c r="I211" s="21">
        <f>IF(TbRegistrosSaida[[#This Row],[Data do Caixa Realizado]]="",0,MONTH(TbRegistrosSaida[[#This Row],[Data do Caixa Realizado]]))</f>
        <v>5</v>
      </c>
      <c r="J211" s="21">
        <f>IF(TbRegistrosSaida[[#This Row],[Data do Caixa Realizado]]="",0,YEAR(TbRegistrosSaida[[#This Row],[Data do Caixa Realizado]]))</f>
        <v>2019</v>
      </c>
      <c r="K211" s="21">
        <f>IF(TbRegistrosSaida[[#This Row],[Data da Competência]]="",0,MONTH(TbRegistrosSaida[[#This Row],[Data da Competência]]))</f>
        <v>4</v>
      </c>
      <c r="L211" s="21">
        <f>IF(TbRegistrosSaida[[#This Row],[Data da Competência]]="",0,YEAR(TbRegistrosSaida[[#This Row],[Data da Competência]]))</f>
        <v>2019</v>
      </c>
      <c r="M211" s="57">
        <f>IF(TbRegistrosSaida[[#This Row],[Data do Caixa Previsto]]="",0,MONTH(TbRegistrosSaida[[#This Row],[Data do Caixa Previsto]]))</f>
        <v>5</v>
      </c>
      <c r="N211" s="58">
        <f>IF(TbRegistrosSaida[[#This Row],[Data do Caixa Previsto]]="",0,YEAR(TbRegistrosSaida[[#This Row],[Data do Caixa Previsto]]))</f>
        <v>2019</v>
      </c>
      <c r="O211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2" spans="2:15" x14ac:dyDescent="0.25">
      <c r="B212" s="20">
        <v>43586.8659361682</v>
      </c>
      <c r="C212" s="20">
        <v>43576</v>
      </c>
      <c r="D212" s="20">
        <v>43586.8659361682</v>
      </c>
      <c r="E212" s="21" t="s">
        <v>16</v>
      </c>
      <c r="F212" s="21" t="s">
        <v>77</v>
      </c>
      <c r="G212" s="21" t="s">
        <v>512</v>
      </c>
      <c r="H212" s="25">
        <v>3908</v>
      </c>
      <c r="I212" s="21">
        <f>IF(TbRegistrosSaida[[#This Row],[Data do Caixa Realizado]]="",0,MONTH(TbRegistrosSaida[[#This Row],[Data do Caixa Realizado]]))</f>
        <v>5</v>
      </c>
      <c r="J212" s="21">
        <f>IF(TbRegistrosSaida[[#This Row],[Data do Caixa Realizado]]="",0,YEAR(TbRegistrosSaida[[#This Row],[Data do Caixa Realizado]]))</f>
        <v>2019</v>
      </c>
      <c r="K212" s="21">
        <f>IF(TbRegistrosSaida[[#This Row],[Data da Competência]]="",0,MONTH(TbRegistrosSaida[[#This Row],[Data da Competência]]))</f>
        <v>4</v>
      </c>
      <c r="L212" s="21">
        <f>IF(TbRegistrosSaida[[#This Row],[Data da Competência]]="",0,YEAR(TbRegistrosSaida[[#This Row],[Data da Competência]]))</f>
        <v>2019</v>
      </c>
      <c r="M212" s="57">
        <f>IF(TbRegistrosSaida[[#This Row],[Data do Caixa Previsto]]="",0,MONTH(TbRegistrosSaida[[#This Row],[Data do Caixa Previsto]]))</f>
        <v>5</v>
      </c>
      <c r="N212" s="58">
        <f>IF(TbRegistrosSaida[[#This Row],[Data do Caixa Previsto]]="",0,YEAR(TbRegistrosSaida[[#This Row],[Data do Caixa Previsto]]))</f>
        <v>2019</v>
      </c>
      <c r="O212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3" spans="2:15" x14ac:dyDescent="0.25">
      <c r="B213" s="20">
        <v>43641.890700157783</v>
      </c>
      <c r="C213" s="20">
        <v>43580</v>
      </c>
      <c r="D213" s="20">
        <v>43635.027119606828</v>
      </c>
      <c r="E213" s="21" t="s">
        <v>16</v>
      </c>
      <c r="F213" s="21" t="s">
        <v>77</v>
      </c>
      <c r="G213" s="21" t="s">
        <v>513</v>
      </c>
      <c r="H213" s="25">
        <v>156</v>
      </c>
      <c r="I213" s="21">
        <f>IF(TbRegistrosSaida[[#This Row],[Data do Caixa Realizado]]="",0,MONTH(TbRegistrosSaida[[#This Row],[Data do Caixa Realizado]]))</f>
        <v>6</v>
      </c>
      <c r="J213" s="21">
        <f>IF(TbRegistrosSaida[[#This Row],[Data do Caixa Realizado]]="",0,YEAR(TbRegistrosSaida[[#This Row],[Data do Caixa Realizado]]))</f>
        <v>2019</v>
      </c>
      <c r="K213" s="21">
        <f>IF(TbRegistrosSaida[[#This Row],[Data da Competência]]="",0,MONTH(TbRegistrosSaida[[#This Row],[Data da Competência]]))</f>
        <v>4</v>
      </c>
      <c r="L213" s="21">
        <f>IF(TbRegistrosSaida[[#This Row],[Data da Competência]]="",0,YEAR(TbRegistrosSaida[[#This Row],[Data da Competência]]))</f>
        <v>2019</v>
      </c>
      <c r="M213" s="57">
        <f>IF(TbRegistrosSaida[[#This Row],[Data do Caixa Previsto]]="",0,MONTH(TbRegistrosSaida[[#This Row],[Data do Caixa Previsto]]))</f>
        <v>6</v>
      </c>
      <c r="N213" s="58">
        <f>IF(TbRegistrosSaida[[#This Row],[Data do Caixa Previsto]]="",0,YEAR(TbRegistrosSaida[[#This Row],[Data do Caixa Previsto]]))</f>
        <v>2019</v>
      </c>
      <c r="O213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6.8635805509547936</v>
      </c>
    </row>
    <row r="214" spans="2:15" x14ac:dyDescent="0.25">
      <c r="B214" s="20">
        <v>43622.113483825102</v>
      </c>
      <c r="C214" s="20">
        <v>43582</v>
      </c>
      <c r="D214" s="20">
        <v>43622.113483825102</v>
      </c>
      <c r="E214" s="21" t="s">
        <v>16</v>
      </c>
      <c r="F214" s="21" t="s">
        <v>3</v>
      </c>
      <c r="G214" s="21" t="s">
        <v>514</v>
      </c>
      <c r="H214" s="25">
        <v>457</v>
      </c>
      <c r="I214" s="21">
        <f>IF(TbRegistrosSaida[[#This Row],[Data do Caixa Realizado]]="",0,MONTH(TbRegistrosSaida[[#This Row],[Data do Caixa Realizado]]))</f>
        <v>6</v>
      </c>
      <c r="J214" s="21">
        <f>IF(TbRegistrosSaida[[#This Row],[Data do Caixa Realizado]]="",0,YEAR(TbRegistrosSaida[[#This Row],[Data do Caixa Realizado]]))</f>
        <v>2019</v>
      </c>
      <c r="K214" s="21">
        <f>IF(TbRegistrosSaida[[#This Row],[Data da Competência]]="",0,MONTH(TbRegistrosSaida[[#This Row],[Data da Competência]]))</f>
        <v>4</v>
      </c>
      <c r="L214" s="21">
        <f>IF(TbRegistrosSaida[[#This Row],[Data da Competência]]="",0,YEAR(TbRegistrosSaida[[#This Row],[Data da Competência]]))</f>
        <v>2019</v>
      </c>
      <c r="M214" s="57">
        <f>IF(TbRegistrosSaida[[#This Row],[Data do Caixa Previsto]]="",0,MONTH(TbRegistrosSaida[[#This Row],[Data do Caixa Previsto]]))</f>
        <v>6</v>
      </c>
      <c r="N214" s="58">
        <f>IF(TbRegistrosSaida[[#This Row],[Data do Caixa Previsto]]="",0,YEAR(TbRegistrosSaida[[#This Row],[Data do Caixa Previsto]]))</f>
        <v>2019</v>
      </c>
      <c r="O214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5" spans="2:15" x14ac:dyDescent="0.25">
      <c r="B215" s="20">
        <v>43624.026611669258</v>
      </c>
      <c r="C215" s="20">
        <v>43588</v>
      </c>
      <c r="D215" s="20">
        <v>43624.026611669258</v>
      </c>
      <c r="E215" s="21" t="s">
        <v>16</v>
      </c>
      <c r="F215" s="21" t="s">
        <v>77</v>
      </c>
      <c r="G215" s="21" t="s">
        <v>515</v>
      </c>
      <c r="H215" s="25">
        <v>3536</v>
      </c>
      <c r="I215" s="21">
        <f>IF(TbRegistrosSaida[[#This Row],[Data do Caixa Realizado]]="",0,MONTH(TbRegistrosSaida[[#This Row],[Data do Caixa Realizado]]))</f>
        <v>6</v>
      </c>
      <c r="J215" s="21">
        <f>IF(TbRegistrosSaida[[#This Row],[Data do Caixa Realizado]]="",0,YEAR(TbRegistrosSaida[[#This Row],[Data do Caixa Realizado]]))</f>
        <v>2019</v>
      </c>
      <c r="K215" s="21">
        <f>IF(TbRegistrosSaida[[#This Row],[Data da Competência]]="",0,MONTH(TbRegistrosSaida[[#This Row],[Data da Competência]]))</f>
        <v>5</v>
      </c>
      <c r="L215" s="21">
        <f>IF(TbRegistrosSaida[[#This Row],[Data da Competência]]="",0,YEAR(TbRegistrosSaida[[#This Row],[Data da Competência]]))</f>
        <v>2019</v>
      </c>
      <c r="M215" s="57">
        <f>IF(TbRegistrosSaida[[#This Row],[Data do Caixa Previsto]]="",0,MONTH(TbRegistrosSaida[[#This Row],[Data do Caixa Previsto]]))</f>
        <v>6</v>
      </c>
      <c r="N215" s="58">
        <f>IF(TbRegistrosSaida[[#This Row],[Data do Caixa Previsto]]="",0,YEAR(TbRegistrosSaida[[#This Row],[Data do Caixa Previsto]]))</f>
        <v>2019</v>
      </c>
      <c r="O215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6" spans="2:15" x14ac:dyDescent="0.25">
      <c r="B216" s="20">
        <v>43595.700139752473</v>
      </c>
      <c r="C216" s="20">
        <v>43590</v>
      </c>
      <c r="D216" s="20">
        <v>43595.700139752473</v>
      </c>
      <c r="E216" s="21" t="s">
        <v>16</v>
      </c>
      <c r="F216" s="21" t="s">
        <v>77</v>
      </c>
      <c r="G216" s="21" t="s">
        <v>516</v>
      </c>
      <c r="H216" s="25">
        <v>1809</v>
      </c>
      <c r="I216" s="21">
        <f>IF(TbRegistrosSaida[[#This Row],[Data do Caixa Realizado]]="",0,MONTH(TbRegistrosSaida[[#This Row],[Data do Caixa Realizado]]))</f>
        <v>5</v>
      </c>
      <c r="J216" s="21">
        <f>IF(TbRegistrosSaida[[#This Row],[Data do Caixa Realizado]]="",0,YEAR(TbRegistrosSaida[[#This Row],[Data do Caixa Realizado]]))</f>
        <v>2019</v>
      </c>
      <c r="K216" s="21">
        <f>IF(TbRegistrosSaida[[#This Row],[Data da Competência]]="",0,MONTH(TbRegistrosSaida[[#This Row],[Data da Competência]]))</f>
        <v>5</v>
      </c>
      <c r="L216" s="21">
        <f>IF(TbRegistrosSaida[[#This Row],[Data da Competência]]="",0,YEAR(TbRegistrosSaida[[#This Row],[Data da Competência]]))</f>
        <v>2019</v>
      </c>
      <c r="M216" s="57">
        <f>IF(TbRegistrosSaida[[#This Row],[Data do Caixa Previsto]]="",0,MONTH(TbRegistrosSaida[[#This Row],[Data do Caixa Previsto]]))</f>
        <v>5</v>
      </c>
      <c r="N216" s="58">
        <f>IF(TbRegistrosSaida[[#This Row],[Data do Caixa Previsto]]="",0,YEAR(TbRegistrosSaida[[#This Row],[Data do Caixa Previsto]]))</f>
        <v>2019</v>
      </c>
      <c r="O216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7" spans="2:15" x14ac:dyDescent="0.25">
      <c r="B217" s="20">
        <v>43613.712962366597</v>
      </c>
      <c r="C217" s="20">
        <v>43591</v>
      </c>
      <c r="D217" s="20">
        <v>43613.712962366597</v>
      </c>
      <c r="E217" s="21" t="s">
        <v>16</v>
      </c>
      <c r="F217" s="21" t="s">
        <v>3</v>
      </c>
      <c r="G217" s="21" t="s">
        <v>517</v>
      </c>
      <c r="H217" s="25">
        <v>4172</v>
      </c>
      <c r="I217" s="21">
        <f>IF(TbRegistrosSaida[[#This Row],[Data do Caixa Realizado]]="",0,MONTH(TbRegistrosSaida[[#This Row],[Data do Caixa Realizado]]))</f>
        <v>5</v>
      </c>
      <c r="J217" s="21">
        <f>IF(TbRegistrosSaida[[#This Row],[Data do Caixa Realizado]]="",0,YEAR(TbRegistrosSaida[[#This Row],[Data do Caixa Realizado]]))</f>
        <v>2019</v>
      </c>
      <c r="K217" s="21">
        <f>IF(TbRegistrosSaida[[#This Row],[Data da Competência]]="",0,MONTH(TbRegistrosSaida[[#This Row],[Data da Competência]]))</f>
        <v>5</v>
      </c>
      <c r="L217" s="21">
        <f>IF(TbRegistrosSaida[[#This Row],[Data da Competência]]="",0,YEAR(TbRegistrosSaida[[#This Row],[Data da Competência]]))</f>
        <v>2019</v>
      </c>
      <c r="M217" s="57">
        <f>IF(TbRegistrosSaida[[#This Row],[Data do Caixa Previsto]]="",0,MONTH(TbRegistrosSaida[[#This Row],[Data do Caixa Previsto]]))</f>
        <v>5</v>
      </c>
      <c r="N217" s="58">
        <f>IF(TbRegistrosSaida[[#This Row],[Data do Caixa Previsto]]="",0,YEAR(TbRegistrosSaida[[#This Row],[Data do Caixa Previsto]]))</f>
        <v>2019</v>
      </c>
      <c r="O217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8" spans="2:15" x14ac:dyDescent="0.25">
      <c r="B218" s="20">
        <v>43623.498752151929</v>
      </c>
      <c r="C218" s="20">
        <v>43592</v>
      </c>
      <c r="D218" s="20">
        <v>43623.498752151929</v>
      </c>
      <c r="E218" s="21" t="s">
        <v>16</v>
      </c>
      <c r="F218" s="21" t="s">
        <v>3</v>
      </c>
      <c r="G218" s="21" t="s">
        <v>518</v>
      </c>
      <c r="H218" s="25">
        <v>3827</v>
      </c>
      <c r="I218" s="21">
        <f>IF(TbRegistrosSaida[[#This Row],[Data do Caixa Realizado]]="",0,MONTH(TbRegistrosSaida[[#This Row],[Data do Caixa Realizado]]))</f>
        <v>6</v>
      </c>
      <c r="J218" s="21">
        <f>IF(TbRegistrosSaida[[#This Row],[Data do Caixa Realizado]]="",0,YEAR(TbRegistrosSaida[[#This Row],[Data do Caixa Realizado]]))</f>
        <v>2019</v>
      </c>
      <c r="K218" s="21">
        <f>IF(TbRegistrosSaida[[#This Row],[Data da Competência]]="",0,MONTH(TbRegistrosSaida[[#This Row],[Data da Competência]]))</f>
        <v>5</v>
      </c>
      <c r="L218" s="21">
        <f>IF(TbRegistrosSaida[[#This Row],[Data da Competência]]="",0,YEAR(TbRegistrosSaida[[#This Row],[Data da Competência]]))</f>
        <v>2019</v>
      </c>
      <c r="M218" s="57">
        <f>IF(TbRegistrosSaida[[#This Row],[Data do Caixa Previsto]]="",0,MONTH(TbRegistrosSaida[[#This Row],[Data do Caixa Previsto]]))</f>
        <v>6</v>
      </c>
      <c r="N218" s="58">
        <f>IF(TbRegistrosSaida[[#This Row],[Data do Caixa Previsto]]="",0,YEAR(TbRegistrosSaida[[#This Row],[Data do Caixa Previsto]]))</f>
        <v>2019</v>
      </c>
      <c r="O218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9" spans="2:15" x14ac:dyDescent="0.25">
      <c r="B219" s="20">
        <v>43732.354485773343</v>
      </c>
      <c r="C219" s="20">
        <v>43594</v>
      </c>
      <c r="D219" s="20">
        <v>43645.188079108193</v>
      </c>
      <c r="E219" s="21" t="s">
        <v>16</v>
      </c>
      <c r="F219" s="21" t="s">
        <v>3</v>
      </c>
      <c r="G219" s="21" t="s">
        <v>519</v>
      </c>
      <c r="H219" s="25">
        <v>1700</v>
      </c>
      <c r="I219" s="21">
        <f>IF(TbRegistrosSaida[[#This Row],[Data do Caixa Realizado]]="",0,MONTH(TbRegistrosSaida[[#This Row],[Data do Caixa Realizado]]))</f>
        <v>9</v>
      </c>
      <c r="J219" s="21">
        <f>IF(TbRegistrosSaida[[#This Row],[Data do Caixa Realizado]]="",0,YEAR(TbRegistrosSaida[[#This Row],[Data do Caixa Realizado]]))</f>
        <v>2019</v>
      </c>
      <c r="K219" s="21">
        <f>IF(TbRegistrosSaida[[#This Row],[Data da Competência]]="",0,MONTH(TbRegistrosSaida[[#This Row],[Data da Competência]]))</f>
        <v>5</v>
      </c>
      <c r="L219" s="21">
        <f>IF(TbRegistrosSaida[[#This Row],[Data da Competência]]="",0,YEAR(TbRegistrosSaida[[#This Row],[Data da Competência]]))</f>
        <v>2019</v>
      </c>
      <c r="M219" s="57">
        <f>IF(TbRegistrosSaida[[#This Row],[Data do Caixa Previsto]]="",0,MONTH(TbRegistrosSaida[[#This Row],[Data do Caixa Previsto]]))</f>
        <v>6</v>
      </c>
      <c r="N219" s="58">
        <f>IF(TbRegistrosSaida[[#This Row],[Data do Caixa Previsto]]="",0,YEAR(TbRegistrosSaida[[#This Row],[Data do Caixa Previsto]]))</f>
        <v>2019</v>
      </c>
      <c r="O219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87.166406665150134</v>
      </c>
    </row>
    <row r="220" spans="2:15" x14ac:dyDescent="0.25">
      <c r="B220" s="20">
        <v>43614.76373708652</v>
      </c>
      <c r="C220" s="20">
        <v>43595</v>
      </c>
      <c r="D220" s="20">
        <v>43614.76373708652</v>
      </c>
      <c r="E220" s="21" t="s">
        <v>16</v>
      </c>
      <c r="F220" s="21" t="s">
        <v>3</v>
      </c>
      <c r="G220" s="21" t="s">
        <v>520</v>
      </c>
      <c r="H220" s="25">
        <v>2090</v>
      </c>
      <c r="I220" s="21">
        <f>IF(TbRegistrosSaida[[#This Row],[Data do Caixa Realizado]]="",0,MONTH(TbRegistrosSaida[[#This Row],[Data do Caixa Realizado]]))</f>
        <v>5</v>
      </c>
      <c r="J220" s="21">
        <f>IF(TbRegistrosSaida[[#This Row],[Data do Caixa Realizado]]="",0,YEAR(TbRegistrosSaida[[#This Row],[Data do Caixa Realizado]]))</f>
        <v>2019</v>
      </c>
      <c r="K220" s="21">
        <f>IF(TbRegistrosSaida[[#This Row],[Data da Competência]]="",0,MONTH(TbRegistrosSaida[[#This Row],[Data da Competência]]))</f>
        <v>5</v>
      </c>
      <c r="L220" s="21">
        <f>IF(TbRegistrosSaida[[#This Row],[Data da Competência]]="",0,YEAR(TbRegistrosSaida[[#This Row],[Data da Competência]]))</f>
        <v>2019</v>
      </c>
      <c r="M220" s="57">
        <f>IF(TbRegistrosSaida[[#This Row],[Data do Caixa Previsto]]="",0,MONTH(TbRegistrosSaida[[#This Row],[Data do Caixa Previsto]]))</f>
        <v>5</v>
      </c>
      <c r="N220" s="58">
        <f>IF(TbRegistrosSaida[[#This Row],[Data do Caixa Previsto]]="",0,YEAR(TbRegistrosSaida[[#This Row],[Data do Caixa Previsto]]))</f>
        <v>2019</v>
      </c>
      <c r="O220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1" spans="2:15" x14ac:dyDescent="0.25">
      <c r="B221" s="20">
        <v>43602.13448735002</v>
      </c>
      <c r="C221" s="20">
        <v>43598</v>
      </c>
      <c r="D221" s="20">
        <v>43602.13448735002</v>
      </c>
      <c r="E221" s="21" t="s">
        <v>16</v>
      </c>
      <c r="F221" s="21" t="s">
        <v>49</v>
      </c>
      <c r="G221" s="21" t="s">
        <v>521</v>
      </c>
      <c r="H221" s="25">
        <v>3230</v>
      </c>
      <c r="I221" s="21">
        <f>IF(TbRegistrosSaida[[#This Row],[Data do Caixa Realizado]]="",0,MONTH(TbRegistrosSaida[[#This Row],[Data do Caixa Realizado]]))</f>
        <v>5</v>
      </c>
      <c r="J221" s="21">
        <f>IF(TbRegistrosSaida[[#This Row],[Data do Caixa Realizado]]="",0,YEAR(TbRegistrosSaida[[#This Row],[Data do Caixa Realizado]]))</f>
        <v>2019</v>
      </c>
      <c r="K221" s="21">
        <f>IF(TbRegistrosSaida[[#This Row],[Data da Competência]]="",0,MONTH(TbRegistrosSaida[[#This Row],[Data da Competência]]))</f>
        <v>5</v>
      </c>
      <c r="L221" s="21">
        <f>IF(TbRegistrosSaida[[#This Row],[Data da Competência]]="",0,YEAR(TbRegistrosSaida[[#This Row],[Data da Competência]]))</f>
        <v>2019</v>
      </c>
      <c r="M221" s="57">
        <f>IF(TbRegistrosSaida[[#This Row],[Data do Caixa Previsto]]="",0,MONTH(TbRegistrosSaida[[#This Row],[Data do Caixa Previsto]]))</f>
        <v>5</v>
      </c>
      <c r="N221" s="58">
        <f>IF(TbRegistrosSaida[[#This Row],[Data do Caixa Previsto]]="",0,YEAR(TbRegistrosSaida[[#This Row],[Data do Caixa Previsto]]))</f>
        <v>2019</v>
      </c>
      <c r="O221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2" spans="2:15" x14ac:dyDescent="0.25">
      <c r="B222" s="20">
        <v>43618.94333879678</v>
      </c>
      <c r="C222" s="20">
        <v>43601</v>
      </c>
      <c r="D222" s="20">
        <v>43618.94333879678</v>
      </c>
      <c r="E222" s="21" t="s">
        <v>16</v>
      </c>
      <c r="F222" s="21" t="s">
        <v>77</v>
      </c>
      <c r="G222" s="21" t="s">
        <v>522</v>
      </c>
      <c r="H222" s="25">
        <v>4030</v>
      </c>
      <c r="I222" s="21">
        <f>IF(TbRegistrosSaida[[#This Row],[Data do Caixa Realizado]]="",0,MONTH(TbRegistrosSaida[[#This Row],[Data do Caixa Realizado]]))</f>
        <v>6</v>
      </c>
      <c r="J222" s="21">
        <f>IF(TbRegistrosSaida[[#This Row],[Data do Caixa Realizado]]="",0,YEAR(TbRegistrosSaida[[#This Row],[Data do Caixa Realizado]]))</f>
        <v>2019</v>
      </c>
      <c r="K222" s="21">
        <f>IF(TbRegistrosSaida[[#This Row],[Data da Competência]]="",0,MONTH(TbRegistrosSaida[[#This Row],[Data da Competência]]))</f>
        <v>5</v>
      </c>
      <c r="L222" s="21">
        <f>IF(TbRegistrosSaida[[#This Row],[Data da Competência]]="",0,YEAR(TbRegistrosSaida[[#This Row],[Data da Competência]]))</f>
        <v>2019</v>
      </c>
      <c r="M222" s="57">
        <f>IF(TbRegistrosSaida[[#This Row],[Data do Caixa Previsto]]="",0,MONTH(TbRegistrosSaida[[#This Row],[Data do Caixa Previsto]]))</f>
        <v>6</v>
      </c>
      <c r="N222" s="58">
        <f>IF(TbRegistrosSaida[[#This Row],[Data do Caixa Previsto]]="",0,YEAR(TbRegistrosSaida[[#This Row],[Data do Caixa Previsto]]))</f>
        <v>2019</v>
      </c>
      <c r="O222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3" spans="2:15" x14ac:dyDescent="0.25">
      <c r="B223" s="20">
        <v>43703.895777057623</v>
      </c>
      <c r="C223" s="20">
        <v>43604</v>
      </c>
      <c r="D223" s="20">
        <v>43615.96984606648</v>
      </c>
      <c r="E223" s="21" t="s">
        <v>16</v>
      </c>
      <c r="F223" s="21" t="s">
        <v>49</v>
      </c>
      <c r="G223" s="21" t="s">
        <v>523</v>
      </c>
      <c r="H223" s="25">
        <v>1367</v>
      </c>
      <c r="I223" s="21">
        <f>IF(TbRegistrosSaida[[#This Row],[Data do Caixa Realizado]]="",0,MONTH(TbRegistrosSaida[[#This Row],[Data do Caixa Realizado]]))</f>
        <v>8</v>
      </c>
      <c r="J223" s="21">
        <f>IF(TbRegistrosSaida[[#This Row],[Data do Caixa Realizado]]="",0,YEAR(TbRegistrosSaida[[#This Row],[Data do Caixa Realizado]]))</f>
        <v>2019</v>
      </c>
      <c r="K223" s="21">
        <f>IF(TbRegistrosSaida[[#This Row],[Data da Competência]]="",0,MONTH(TbRegistrosSaida[[#This Row],[Data da Competência]]))</f>
        <v>5</v>
      </c>
      <c r="L223" s="21">
        <f>IF(TbRegistrosSaida[[#This Row],[Data da Competência]]="",0,YEAR(TbRegistrosSaida[[#This Row],[Data da Competência]]))</f>
        <v>2019</v>
      </c>
      <c r="M223" s="57">
        <f>IF(TbRegistrosSaida[[#This Row],[Data do Caixa Previsto]]="",0,MONTH(TbRegistrosSaida[[#This Row],[Data do Caixa Previsto]]))</f>
        <v>5</v>
      </c>
      <c r="N223" s="58">
        <f>IF(TbRegistrosSaida[[#This Row],[Data do Caixa Previsto]]="",0,YEAR(TbRegistrosSaida[[#This Row],[Data do Caixa Previsto]]))</f>
        <v>2019</v>
      </c>
      <c r="O223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87.925930991143105</v>
      </c>
    </row>
    <row r="224" spans="2:15" x14ac:dyDescent="0.25">
      <c r="B224" s="20">
        <v>43626.228578403905</v>
      </c>
      <c r="C224" s="20">
        <v>43607</v>
      </c>
      <c r="D224" s="20">
        <v>43626.228578403905</v>
      </c>
      <c r="E224" s="21" t="s">
        <v>16</v>
      </c>
      <c r="F224" s="21" t="s">
        <v>77</v>
      </c>
      <c r="G224" s="21" t="s">
        <v>524</v>
      </c>
      <c r="H224" s="25">
        <v>3945</v>
      </c>
      <c r="I224" s="21">
        <f>IF(TbRegistrosSaida[[#This Row],[Data do Caixa Realizado]]="",0,MONTH(TbRegistrosSaida[[#This Row],[Data do Caixa Realizado]]))</f>
        <v>6</v>
      </c>
      <c r="J224" s="21">
        <f>IF(TbRegistrosSaida[[#This Row],[Data do Caixa Realizado]]="",0,YEAR(TbRegistrosSaida[[#This Row],[Data do Caixa Realizado]]))</f>
        <v>2019</v>
      </c>
      <c r="K224" s="21">
        <f>IF(TbRegistrosSaida[[#This Row],[Data da Competência]]="",0,MONTH(TbRegistrosSaida[[#This Row],[Data da Competência]]))</f>
        <v>5</v>
      </c>
      <c r="L224" s="21">
        <f>IF(TbRegistrosSaida[[#This Row],[Data da Competência]]="",0,YEAR(TbRegistrosSaida[[#This Row],[Data da Competência]]))</f>
        <v>2019</v>
      </c>
      <c r="M224" s="57">
        <f>IF(TbRegistrosSaida[[#This Row],[Data do Caixa Previsto]]="",0,MONTH(TbRegistrosSaida[[#This Row],[Data do Caixa Previsto]]))</f>
        <v>6</v>
      </c>
      <c r="N224" s="58">
        <f>IF(TbRegistrosSaida[[#This Row],[Data do Caixa Previsto]]="",0,YEAR(TbRegistrosSaida[[#This Row],[Data do Caixa Previsto]]))</f>
        <v>2019</v>
      </c>
      <c r="O224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5" spans="2:15" x14ac:dyDescent="0.25">
      <c r="B225" s="20">
        <v>43643.772479924686</v>
      </c>
      <c r="C225" s="20">
        <v>43610</v>
      </c>
      <c r="D225" s="20">
        <v>43641.740590364629</v>
      </c>
      <c r="E225" s="21" t="s">
        <v>16</v>
      </c>
      <c r="F225" s="21" t="s">
        <v>17</v>
      </c>
      <c r="G225" s="21" t="s">
        <v>525</v>
      </c>
      <c r="H225" s="25">
        <v>4518</v>
      </c>
      <c r="I225" s="21">
        <f>IF(TbRegistrosSaida[[#This Row],[Data do Caixa Realizado]]="",0,MONTH(TbRegistrosSaida[[#This Row],[Data do Caixa Realizado]]))</f>
        <v>6</v>
      </c>
      <c r="J225" s="21">
        <f>IF(TbRegistrosSaida[[#This Row],[Data do Caixa Realizado]]="",0,YEAR(TbRegistrosSaida[[#This Row],[Data do Caixa Realizado]]))</f>
        <v>2019</v>
      </c>
      <c r="K225" s="21">
        <f>IF(TbRegistrosSaida[[#This Row],[Data da Competência]]="",0,MONTH(TbRegistrosSaida[[#This Row],[Data da Competência]]))</f>
        <v>5</v>
      </c>
      <c r="L225" s="21">
        <f>IF(TbRegistrosSaida[[#This Row],[Data da Competência]]="",0,YEAR(TbRegistrosSaida[[#This Row],[Data da Competência]]))</f>
        <v>2019</v>
      </c>
      <c r="M225" s="57">
        <f>IF(TbRegistrosSaida[[#This Row],[Data do Caixa Previsto]]="",0,MONTH(TbRegistrosSaida[[#This Row],[Data do Caixa Previsto]]))</f>
        <v>6</v>
      </c>
      <c r="N225" s="58">
        <f>IF(TbRegistrosSaida[[#This Row],[Data do Caixa Previsto]]="",0,YEAR(TbRegistrosSaida[[#This Row],[Data do Caixa Previsto]]))</f>
        <v>2019</v>
      </c>
      <c r="O225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2.031889560057607</v>
      </c>
    </row>
    <row r="226" spans="2:15" x14ac:dyDescent="0.25">
      <c r="B226" s="20">
        <v>43673.934978004319</v>
      </c>
      <c r="C226" s="20">
        <v>43614</v>
      </c>
      <c r="D226" s="20">
        <v>43645.508154061761</v>
      </c>
      <c r="E226" s="21" t="s">
        <v>16</v>
      </c>
      <c r="F226" s="21" t="s">
        <v>77</v>
      </c>
      <c r="G226" s="21" t="s">
        <v>369</v>
      </c>
      <c r="H226" s="25">
        <v>3086</v>
      </c>
      <c r="I226" s="21">
        <f>IF(TbRegistrosSaida[[#This Row],[Data do Caixa Realizado]]="",0,MONTH(TbRegistrosSaida[[#This Row],[Data do Caixa Realizado]]))</f>
        <v>7</v>
      </c>
      <c r="J226" s="21">
        <f>IF(TbRegistrosSaida[[#This Row],[Data do Caixa Realizado]]="",0,YEAR(TbRegistrosSaida[[#This Row],[Data do Caixa Realizado]]))</f>
        <v>2019</v>
      </c>
      <c r="K226" s="21">
        <f>IF(TbRegistrosSaida[[#This Row],[Data da Competência]]="",0,MONTH(TbRegistrosSaida[[#This Row],[Data da Competência]]))</f>
        <v>5</v>
      </c>
      <c r="L226" s="21">
        <f>IF(TbRegistrosSaida[[#This Row],[Data da Competência]]="",0,YEAR(TbRegistrosSaida[[#This Row],[Data da Competência]]))</f>
        <v>2019</v>
      </c>
      <c r="M226" s="57">
        <f>IF(TbRegistrosSaida[[#This Row],[Data do Caixa Previsto]]="",0,MONTH(TbRegistrosSaida[[#This Row],[Data do Caixa Previsto]]))</f>
        <v>6</v>
      </c>
      <c r="N226" s="58">
        <f>IF(TbRegistrosSaida[[#This Row],[Data do Caixa Previsto]]="",0,YEAR(TbRegistrosSaida[[#This Row],[Data do Caixa Previsto]]))</f>
        <v>2019</v>
      </c>
      <c r="O226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28.426823942558258</v>
      </c>
    </row>
    <row r="227" spans="2:15" x14ac:dyDescent="0.25">
      <c r="B227" s="20">
        <v>43628.969362987358</v>
      </c>
      <c r="C227" s="20">
        <v>43619</v>
      </c>
      <c r="D227" s="20">
        <v>43628.969362987358</v>
      </c>
      <c r="E227" s="21" t="s">
        <v>16</v>
      </c>
      <c r="F227" s="21" t="s">
        <v>3</v>
      </c>
      <c r="G227" s="21" t="s">
        <v>526</v>
      </c>
      <c r="H227" s="25">
        <v>297</v>
      </c>
      <c r="I227" s="21">
        <f>IF(TbRegistrosSaida[[#This Row],[Data do Caixa Realizado]]="",0,MONTH(TbRegistrosSaida[[#This Row],[Data do Caixa Realizado]]))</f>
        <v>6</v>
      </c>
      <c r="J227" s="21">
        <f>IF(TbRegistrosSaida[[#This Row],[Data do Caixa Realizado]]="",0,YEAR(TbRegistrosSaida[[#This Row],[Data do Caixa Realizado]]))</f>
        <v>2019</v>
      </c>
      <c r="K227" s="21">
        <f>IF(TbRegistrosSaida[[#This Row],[Data da Competência]]="",0,MONTH(TbRegistrosSaida[[#This Row],[Data da Competência]]))</f>
        <v>6</v>
      </c>
      <c r="L227" s="21">
        <f>IF(TbRegistrosSaida[[#This Row],[Data da Competência]]="",0,YEAR(TbRegistrosSaida[[#This Row],[Data da Competência]]))</f>
        <v>2019</v>
      </c>
      <c r="M227" s="57">
        <f>IF(TbRegistrosSaida[[#This Row],[Data do Caixa Previsto]]="",0,MONTH(TbRegistrosSaida[[#This Row],[Data do Caixa Previsto]]))</f>
        <v>6</v>
      </c>
      <c r="N227" s="58">
        <f>IF(TbRegistrosSaida[[#This Row],[Data do Caixa Previsto]]="",0,YEAR(TbRegistrosSaida[[#This Row],[Data do Caixa Previsto]]))</f>
        <v>2019</v>
      </c>
      <c r="O227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8" spans="2:15" x14ac:dyDescent="0.25">
      <c r="B228" s="20">
        <v>43639.192651531121</v>
      </c>
      <c r="C228" s="20">
        <v>43623</v>
      </c>
      <c r="D228" s="20">
        <v>43639.192651531121</v>
      </c>
      <c r="E228" s="21" t="s">
        <v>16</v>
      </c>
      <c r="F228" s="21" t="s">
        <v>49</v>
      </c>
      <c r="G228" s="21" t="s">
        <v>527</v>
      </c>
      <c r="H228" s="25">
        <v>3226</v>
      </c>
      <c r="I228" s="21">
        <f>IF(TbRegistrosSaida[[#This Row],[Data do Caixa Realizado]]="",0,MONTH(TbRegistrosSaida[[#This Row],[Data do Caixa Realizado]]))</f>
        <v>6</v>
      </c>
      <c r="J228" s="21">
        <f>IF(TbRegistrosSaida[[#This Row],[Data do Caixa Realizado]]="",0,YEAR(TbRegistrosSaida[[#This Row],[Data do Caixa Realizado]]))</f>
        <v>2019</v>
      </c>
      <c r="K228" s="21">
        <f>IF(TbRegistrosSaida[[#This Row],[Data da Competência]]="",0,MONTH(TbRegistrosSaida[[#This Row],[Data da Competência]]))</f>
        <v>6</v>
      </c>
      <c r="L228" s="21">
        <f>IF(TbRegistrosSaida[[#This Row],[Data da Competência]]="",0,YEAR(TbRegistrosSaida[[#This Row],[Data da Competência]]))</f>
        <v>2019</v>
      </c>
      <c r="M228" s="57">
        <f>IF(TbRegistrosSaida[[#This Row],[Data do Caixa Previsto]]="",0,MONTH(TbRegistrosSaida[[#This Row],[Data do Caixa Previsto]]))</f>
        <v>6</v>
      </c>
      <c r="N228" s="58">
        <f>IF(TbRegistrosSaida[[#This Row],[Data do Caixa Previsto]]="",0,YEAR(TbRegistrosSaida[[#This Row],[Data do Caixa Previsto]]))</f>
        <v>2019</v>
      </c>
      <c r="O228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9" spans="2:15" hidden="1" x14ac:dyDescent="0.25">
      <c r="B229" s="20" t="s">
        <v>92</v>
      </c>
      <c r="C229" s="20">
        <v>43625</v>
      </c>
      <c r="D229" s="20">
        <v>43672.670884183579</v>
      </c>
      <c r="E229" s="21" t="s">
        <v>16</v>
      </c>
      <c r="F229" s="21" t="s">
        <v>77</v>
      </c>
      <c r="G229" s="21" t="s">
        <v>528</v>
      </c>
      <c r="H229" s="25">
        <v>2338</v>
      </c>
      <c r="I229" s="21">
        <f>IF(TbRegistrosSaida[[#This Row],[Data do Caixa Realizado]]="",0,MONTH(TbRegistrosSaida[[#This Row],[Data do Caixa Realizado]]))</f>
        <v>0</v>
      </c>
      <c r="J229" s="21">
        <f>IF(TbRegistrosSaida[[#This Row],[Data do Caixa Realizado]]="",0,YEAR(TbRegistrosSaida[[#This Row],[Data do Caixa Realizado]]))</f>
        <v>0</v>
      </c>
      <c r="K229" s="21">
        <f>IF(TbRegistrosSaida[[#This Row],[Data da Competência]]="",0,MONTH(TbRegistrosSaida[[#This Row],[Data da Competência]]))</f>
        <v>6</v>
      </c>
      <c r="L229" s="21">
        <f>IF(TbRegistrosSaida[[#This Row],[Data da Competência]]="",0,YEAR(TbRegistrosSaida[[#This Row],[Data da Competência]]))</f>
        <v>2019</v>
      </c>
      <c r="M229" s="57">
        <f>IF(TbRegistrosSaida[[#This Row],[Data do Caixa Previsto]]="",0,MONTH(TbRegistrosSaida[[#This Row],[Data do Caixa Previsto]]))</f>
        <v>7</v>
      </c>
      <c r="N229" s="58">
        <f>IF(TbRegistrosSaida[[#This Row],[Data do Caixa Previsto]]="",0,YEAR(TbRegistrosSaida[[#This Row],[Data do Caixa Previsto]]))</f>
        <v>2019</v>
      </c>
      <c r="O229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1721.3291158164211</v>
      </c>
    </row>
    <row r="230" spans="2:15" x14ac:dyDescent="0.25">
      <c r="B230" s="20">
        <v>43741.508211497443</v>
      </c>
      <c r="C230" s="20">
        <v>43632</v>
      </c>
      <c r="D230" s="20">
        <v>43664.662454163976</v>
      </c>
      <c r="E230" s="21" t="s">
        <v>16</v>
      </c>
      <c r="F230" s="21" t="s">
        <v>49</v>
      </c>
      <c r="G230" s="21" t="s">
        <v>529</v>
      </c>
      <c r="H230" s="25">
        <v>3773</v>
      </c>
      <c r="I230" s="21">
        <f>IF(TbRegistrosSaida[[#This Row],[Data do Caixa Realizado]]="",0,MONTH(TbRegistrosSaida[[#This Row],[Data do Caixa Realizado]]))</f>
        <v>10</v>
      </c>
      <c r="J230" s="21">
        <f>IF(TbRegistrosSaida[[#This Row],[Data do Caixa Realizado]]="",0,YEAR(TbRegistrosSaida[[#This Row],[Data do Caixa Realizado]]))</f>
        <v>2019</v>
      </c>
      <c r="K230" s="21">
        <f>IF(TbRegistrosSaida[[#This Row],[Data da Competência]]="",0,MONTH(TbRegistrosSaida[[#This Row],[Data da Competência]]))</f>
        <v>6</v>
      </c>
      <c r="L230" s="21">
        <f>IF(TbRegistrosSaida[[#This Row],[Data da Competência]]="",0,YEAR(TbRegistrosSaida[[#This Row],[Data da Competência]]))</f>
        <v>2019</v>
      </c>
      <c r="M230" s="57">
        <f>IF(TbRegistrosSaida[[#This Row],[Data do Caixa Previsto]]="",0,MONTH(TbRegistrosSaida[[#This Row],[Data do Caixa Previsto]]))</f>
        <v>7</v>
      </c>
      <c r="N230" s="58">
        <f>IF(TbRegistrosSaida[[#This Row],[Data do Caixa Previsto]]="",0,YEAR(TbRegistrosSaida[[#This Row],[Data do Caixa Previsto]]))</f>
        <v>2019</v>
      </c>
      <c r="O230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76.845757333467191</v>
      </c>
    </row>
    <row r="231" spans="2:15" hidden="1" x14ac:dyDescent="0.25">
      <c r="B231" s="20" t="s">
        <v>92</v>
      </c>
      <c r="C231" s="20">
        <v>43635</v>
      </c>
      <c r="D231" s="20">
        <v>43686.085509883509</v>
      </c>
      <c r="E231" s="21" t="s">
        <v>16</v>
      </c>
      <c r="F231" s="21" t="s">
        <v>49</v>
      </c>
      <c r="G231" s="21" t="s">
        <v>530</v>
      </c>
      <c r="H231" s="25">
        <v>2759</v>
      </c>
      <c r="I231" s="21">
        <f>IF(TbRegistrosSaida[[#This Row],[Data do Caixa Realizado]]="",0,MONTH(TbRegistrosSaida[[#This Row],[Data do Caixa Realizado]]))</f>
        <v>0</v>
      </c>
      <c r="J231" s="21">
        <f>IF(TbRegistrosSaida[[#This Row],[Data do Caixa Realizado]]="",0,YEAR(TbRegistrosSaida[[#This Row],[Data do Caixa Realizado]]))</f>
        <v>0</v>
      </c>
      <c r="K231" s="21">
        <f>IF(TbRegistrosSaida[[#This Row],[Data da Competência]]="",0,MONTH(TbRegistrosSaida[[#This Row],[Data da Competência]]))</f>
        <v>6</v>
      </c>
      <c r="L231" s="21">
        <f>IF(TbRegistrosSaida[[#This Row],[Data da Competência]]="",0,YEAR(TbRegistrosSaida[[#This Row],[Data da Competência]]))</f>
        <v>2019</v>
      </c>
      <c r="M231" s="57">
        <f>IF(TbRegistrosSaida[[#This Row],[Data do Caixa Previsto]]="",0,MONTH(TbRegistrosSaida[[#This Row],[Data do Caixa Previsto]]))</f>
        <v>8</v>
      </c>
      <c r="N231" s="58">
        <f>IF(TbRegistrosSaida[[#This Row],[Data do Caixa Previsto]]="",0,YEAR(TbRegistrosSaida[[#This Row],[Data do Caixa Previsto]]))</f>
        <v>2019</v>
      </c>
      <c r="O231" s="57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1707.9144901164909</v>
      </c>
    </row>
    <row r="232" spans="2:15" x14ac:dyDescent="0.25">
      <c r="B232" s="20">
        <v>43682.520022083132</v>
      </c>
      <c r="C232" s="20">
        <v>43637</v>
      </c>
      <c r="D232" s="20">
        <v>43682.520022083132</v>
      </c>
      <c r="E232" s="21" t="s">
        <v>16</v>
      </c>
      <c r="F232" s="21" t="s">
        <v>49</v>
      </c>
      <c r="G232" s="21" t="s">
        <v>531</v>
      </c>
      <c r="H232" s="25">
        <v>1425</v>
      </c>
      <c r="I232" s="21">
        <f>IF(TbRegistrosSaida[[#This Row],[Data do Caixa Realizado]]="",0,MONTH(TbRegistrosSaida[[#This Row],[Data do Caixa Realizado]]))</f>
        <v>8</v>
      </c>
      <c r="J232" s="21">
        <f>IF(TbRegistrosSaida[[#This Row],[Data do Caixa Realizado]]="",0,YEAR(TbRegistrosSaida[[#This Row],[Data do Caixa Realizado]]))</f>
        <v>2019</v>
      </c>
      <c r="K232" s="21">
        <f>IF(TbRegistrosSaida[[#This Row],[Data da Competência]]="",0,MONTH(TbRegistrosSaida[[#This Row],[Data da Competência]]))</f>
        <v>6</v>
      </c>
      <c r="L232" s="21">
        <f>IF(TbRegistrosSaida[[#This Row],[Data da Competência]]="",0,YEAR(TbRegistrosSaida[[#This Row],[Data da Competência]]))</f>
        <v>2019</v>
      </c>
      <c r="M232" s="57">
        <f>IF(TbRegistrosSaida[[#This Row],[Data do Caixa Previsto]]="",0,MONTH(TbRegistrosSaida[[#This Row],[Data do Caixa Previsto]]))</f>
        <v>8</v>
      </c>
      <c r="N232" s="58">
        <f>IF(TbRegistrosSaida[[#This Row],[Data do Caixa Previsto]]="",0,YEAR(TbRegistrosSaida[[#This Row],[Data do Caixa Previsto]]))</f>
        <v>2019</v>
      </c>
      <c r="O232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33" spans="2:15" x14ac:dyDescent="0.25">
      <c r="B233" s="20">
        <v>43697.929033863591</v>
      </c>
      <c r="C233" s="20">
        <v>43639</v>
      </c>
      <c r="D233" s="20">
        <v>43697.929033863591</v>
      </c>
      <c r="E233" s="21" t="s">
        <v>16</v>
      </c>
      <c r="F233" s="21" t="s">
        <v>49</v>
      </c>
      <c r="G233" s="21" t="s">
        <v>532</v>
      </c>
      <c r="H233" s="25">
        <v>332</v>
      </c>
      <c r="I233" s="21">
        <f>IF(TbRegistrosSaida[[#This Row],[Data do Caixa Realizado]]="",0,MONTH(TbRegistrosSaida[[#This Row],[Data do Caixa Realizado]]))</f>
        <v>8</v>
      </c>
      <c r="J233" s="21">
        <f>IF(TbRegistrosSaida[[#This Row],[Data do Caixa Realizado]]="",0,YEAR(TbRegistrosSaida[[#This Row],[Data do Caixa Realizado]]))</f>
        <v>2019</v>
      </c>
      <c r="K233" s="21">
        <f>IF(TbRegistrosSaida[[#This Row],[Data da Competência]]="",0,MONTH(TbRegistrosSaida[[#This Row],[Data da Competência]]))</f>
        <v>6</v>
      </c>
      <c r="L233" s="21">
        <f>IF(TbRegistrosSaida[[#This Row],[Data da Competência]]="",0,YEAR(TbRegistrosSaida[[#This Row],[Data da Competência]]))</f>
        <v>2019</v>
      </c>
      <c r="M233" s="57">
        <f>IF(TbRegistrosSaida[[#This Row],[Data do Caixa Previsto]]="",0,MONTH(TbRegistrosSaida[[#This Row],[Data do Caixa Previsto]]))</f>
        <v>8</v>
      </c>
      <c r="N233" s="58">
        <f>IF(TbRegistrosSaida[[#This Row],[Data do Caixa Previsto]]="",0,YEAR(TbRegistrosSaida[[#This Row],[Data do Caixa Previsto]]))</f>
        <v>2019</v>
      </c>
      <c r="O233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34" spans="2:15" x14ac:dyDescent="0.25">
      <c r="B234" s="20">
        <v>43653.195660130521</v>
      </c>
      <c r="C234" s="20">
        <v>43646</v>
      </c>
      <c r="D234" s="20">
        <v>43653.195660130521</v>
      </c>
      <c r="E234" s="21" t="s">
        <v>16</v>
      </c>
      <c r="F234" s="21" t="s">
        <v>77</v>
      </c>
      <c r="G234" s="21" t="s">
        <v>533</v>
      </c>
      <c r="H234" s="25">
        <v>2819</v>
      </c>
      <c r="I234" s="21">
        <f>IF(TbRegistrosSaida[[#This Row],[Data do Caixa Realizado]]="",0,MONTH(TbRegistrosSaida[[#This Row],[Data do Caixa Realizado]]))</f>
        <v>7</v>
      </c>
      <c r="J234" s="21">
        <f>IF(TbRegistrosSaida[[#This Row],[Data do Caixa Realizado]]="",0,YEAR(TbRegistrosSaida[[#This Row],[Data do Caixa Realizado]]))</f>
        <v>2019</v>
      </c>
      <c r="K234" s="21">
        <f>IF(TbRegistrosSaida[[#This Row],[Data da Competência]]="",0,MONTH(TbRegistrosSaida[[#This Row],[Data da Competência]]))</f>
        <v>6</v>
      </c>
      <c r="L234" s="21">
        <f>IF(TbRegistrosSaida[[#This Row],[Data da Competência]]="",0,YEAR(TbRegistrosSaida[[#This Row],[Data da Competência]]))</f>
        <v>2019</v>
      </c>
      <c r="M234" s="57">
        <f>IF(TbRegistrosSaida[[#This Row],[Data do Caixa Previsto]]="",0,MONTH(TbRegistrosSaida[[#This Row],[Data do Caixa Previsto]]))</f>
        <v>7</v>
      </c>
      <c r="N234" s="58">
        <f>IF(TbRegistrosSaida[[#This Row],[Data do Caixa Previsto]]="",0,YEAR(TbRegistrosSaida[[#This Row],[Data do Caixa Previsto]]))</f>
        <v>2019</v>
      </c>
      <c r="O234" s="114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35" spans="2:15" ht="15.75" x14ac:dyDescent="0.25">
      <c r="D235" s="26" t="s">
        <v>81</v>
      </c>
      <c r="E235" t="str">
        <f ca="1">OFFSET(SaidasN2N2,MATCH(E6,SaidasN2n1,0)-1,0,COUNTIF(SaidasN2n1,E6))</f>
        <v>Vestuário</v>
      </c>
    </row>
  </sheetData>
  <dataValidations count="2">
    <dataValidation type="list" allowBlank="1" showInputMessage="1" showErrorMessage="1" sqref="E6:E234">
      <formula1>SaidasNivel1</formula1>
    </dataValidation>
    <dataValidation type="list" allowBlank="1" showInputMessage="1" showErrorMessage="1" sqref="F6:F234">
      <formula1>OFFSET(SaidasN2N2,MATCH(E6,SaidasN2n1,0)-1,0,COUNTIF(SaidasN2n1,E6))</formula1>
    </dataValidation>
  </dataValidations>
  <pageMargins left="0.511811024" right="0.511811024" top="0.78740157499999996" bottom="0.78740157499999996" header="0.31496062000000002" footer="0.31496062000000002"/>
  <ignoredErrors>
    <ignoredError sqref="E6:E15 F6:F15 F79:F91" listDataValidatio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workbookViewId="0">
      <selection activeCell="C9" sqref="C9"/>
    </sheetView>
  </sheetViews>
  <sheetFormatPr defaultColWidth="0" defaultRowHeight="15" x14ac:dyDescent="0.25"/>
  <cols>
    <col min="1" max="1" width="2" customWidth="1"/>
    <col min="2" max="2" width="19.7109375" customWidth="1"/>
    <col min="3" max="14" width="13.7109375" customWidth="1"/>
    <col min="15" max="15" width="9.140625" customWidth="1"/>
    <col min="16" max="16384" width="9.140625" hidden="1"/>
  </cols>
  <sheetData>
    <row r="1" spans="2:14" ht="4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 t="s">
        <v>38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28" t="s">
        <v>534</v>
      </c>
      <c r="C3" s="27">
        <v>2019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/>
    <row r="6" spans="2:14" ht="20.100000000000001" customHeight="1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</row>
    <row r="7" spans="2:14" ht="20.100000000000001" customHeight="1" x14ac:dyDescent="0.3">
      <c r="B7" s="138" t="s">
        <v>535</v>
      </c>
      <c r="C7" s="138"/>
      <c r="D7" s="138"/>
    </row>
    <row r="8" spans="2:14" ht="20.100000000000001" customHeight="1" x14ac:dyDescent="0.25">
      <c r="B8" s="29" t="s">
        <v>536</v>
      </c>
      <c r="C8" s="30" t="s">
        <v>540</v>
      </c>
      <c r="D8" s="30" t="s">
        <v>541</v>
      </c>
      <c r="E8" s="30" t="s">
        <v>542</v>
      </c>
      <c r="F8" s="30" t="s">
        <v>543</v>
      </c>
      <c r="G8" s="30" t="s">
        <v>544</v>
      </c>
      <c r="H8" s="30" t="s">
        <v>545</v>
      </c>
      <c r="I8" s="30" t="s">
        <v>546</v>
      </c>
      <c r="J8" s="30" t="s">
        <v>547</v>
      </c>
      <c r="K8" s="30" t="s">
        <v>548</v>
      </c>
      <c r="L8" s="30" t="s">
        <v>549</v>
      </c>
      <c r="M8" s="30" t="s">
        <v>550</v>
      </c>
      <c r="N8" s="31" t="s">
        <v>551</v>
      </c>
    </row>
    <row r="9" spans="2:14" ht="20.100000000000001" customHeight="1" x14ac:dyDescent="0.25">
      <c r="B9" s="38" t="s">
        <v>552</v>
      </c>
      <c r="C9" s="32">
        <f>SUMIFS(TbRegistroEntradas[Valor],TbRegistroEntradas[Ano Caixa],"&lt;"&amp;C3,TbRegistroEntradas[Ano Caixa],"&lt;&gt;0")-SUMIFS(TbRegistrosSaida[Valor],TbRegistrosSaida[Ano Caixa],"&lt;"&amp;C3,TbRegistrosSaida[Ano Caixa],"&lt;&gt;0")</f>
        <v>14746</v>
      </c>
      <c r="D9" s="32">
        <f>C12</f>
        <v>16188</v>
      </c>
      <c r="E9" s="32">
        <f t="shared" ref="E9:N9" si="0">D12</f>
        <v>21863</v>
      </c>
      <c r="F9" s="32">
        <f t="shared" si="0"/>
        <v>23864</v>
      </c>
      <c r="G9" s="32">
        <f t="shared" si="0"/>
        <v>12147</v>
      </c>
      <c r="H9" s="32">
        <f t="shared" si="0"/>
        <v>10954</v>
      </c>
      <c r="I9" s="32">
        <f t="shared" si="0"/>
        <v>-2743</v>
      </c>
      <c r="J9" s="32">
        <f t="shared" si="0"/>
        <v>-2189</v>
      </c>
      <c r="K9" s="32">
        <f t="shared" si="0"/>
        <v>-2976</v>
      </c>
      <c r="L9" s="32">
        <f t="shared" si="0"/>
        <v>-1230</v>
      </c>
      <c r="M9" s="32">
        <f t="shared" si="0"/>
        <v>-3097</v>
      </c>
      <c r="N9" s="33">
        <f t="shared" si="0"/>
        <v>-3097</v>
      </c>
    </row>
    <row r="10" spans="2:14" ht="20.100000000000001" customHeight="1" x14ac:dyDescent="0.25">
      <c r="B10" s="39" t="s">
        <v>537</v>
      </c>
      <c r="C10" s="34">
        <f>SUMIFS(TbRegistroEntradas[Valor],TbRegistroEntradas[Mês Caixa],C6,TbRegistroEntradas[Ano Caixa],$C$3)</f>
        <v>20033</v>
      </c>
      <c r="D10" s="34">
        <f>SUMIFS(TbRegistroEntradas[Valor],TbRegistroEntradas[Mês Caixa],D6,TbRegistroEntradas[Ano Caixa],$C$3)</f>
        <v>34683</v>
      </c>
      <c r="E10" s="34">
        <f>SUMIFS(TbRegistroEntradas[Valor],TbRegistroEntradas[Mês Caixa],E6,TbRegistroEntradas[Ano Caixa],$C$3)</f>
        <v>20323</v>
      </c>
      <c r="F10" s="34">
        <f>SUMIFS(TbRegistroEntradas[Valor],TbRegistroEntradas[Mês Caixa],F6,TbRegistroEntradas[Ano Caixa],$C$3)</f>
        <v>25152</v>
      </c>
      <c r="G10" s="34">
        <f>SUMIFS(TbRegistroEntradas[Valor],TbRegistroEntradas[Mês Caixa],G6,TbRegistroEntradas[Ano Caixa],$C$3)</f>
        <v>27509</v>
      </c>
      <c r="H10" s="34">
        <f>SUMIFS(TbRegistroEntradas[Valor],TbRegistroEntradas[Mês Caixa],H6,TbRegistroEntradas[Ano Caixa],$C$3)</f>
        <v>18189</v>
      </c>
      <c r="I10" s="34">
        <f>SUMIFS(TbRegistroEntradas[Valor],TbRegistroEntradas[Mês Caixa],I6,TbRegistroEntradas[Ano Caixa],$C$3)</f>
        <v>8420</v>
      </c>
      <c r="J10" s="34">
        <f>SUMIFS(TbRegistroEntradas[Valor],TbRegistroEntradas[Mês Caixa],J6,TbRegistroEntradas[Ano Caixa],$C$3)</f>
        <v>2337</v>
      </c>
      <c r="K10" s="34">
        <f>SUMIFS(TbRegistroEntradas[Valor],TbRegistroEntradas[Mês Caixa],K6,TbRegistroEntradas[Ano Caixa],$C$3)</f>
        <v>3446</v>
      </c>
      <c r="L10" s="34">
        <f>SUMIFS(TbRegistroEntradas[Valor],TbRegistroEntradas[Mês Caixa],L6,TbRegistroEntradas[Ano Caixa],$C$3)</f>
        <v>1906</v>
      </c>
      <c r="M10" s="34">
        <f>SUMIFS(TbRegistroEntradas[Valor],TbRegistroEntradas[Mês Caixa],M6,TbRegistroEntradas[Ano Caixa],$C$3)</f>
        <v>0</v>
      </c>
      <c r="N10" s="35">
        <f>SUMIFS(TbRegistroEntradas[Valor],TbRegistroEntradas[Mês Caixa],N6,TbRegistroEntradas[Ano Caixa],$C$3)</f>
        <v>0</v>
      </c>
    </row>
    <row r="11" spans="2:14" ht="20.100000000000001" customHeight="1" x14ac:dyDescent="0.25">
      <c r="B11" s="39" t="s">
        <v>538</v>
      </c>
      <c r="C11" s="34">
        <f>SUMIFS(TbRegistrosSaida[Valor],TbRegistrosSaida[Mês Caixa],C6,TbRegistrosSaida[Ano Caixa],$C$3)</f>
        <v>18591</v>
      </c>
      <c r="D11" s="34">
        <f>SUMIFS(TbRegistrosSaida[Valor],TbRegistrosSaida[Mês Caixa],D6,TbRegistrosSaida[Ano Caixa],$C$3)</f>
        <v>29008</v>
      </c>
      <c r="E11" s="34">
        <f>SUMIFS(TbRegistrosSaida[Valor],TbRegistrosSaida[Mês Caixa],E6,TbRegistrosSaida[Ano Caixa],$C$3)</f>
        <v>18322</v>
      </c>
      <c r="F11" s="34">
        <f>SUMIFS(TbRegistrosSaida[Valor],TbRegistrosSaida[Mês Caixa],F6,TbRegistrosSaida[Ano Caixa],$C$3)</f>
        <v>36869</v>
      </c>
      <c r="G11" s="34">
        <f>SUMIFS(TbRegistrosSaida[Valor],TbRegistrosSaida[Mês Caixa],G6,TbRegistrosSaida[Ano Caixa],$C$3)</f>
        <v>28702</v>
      </c>
      <c r="H11" s="34">
        <f>SUMIFS(TbRegistrosSaida[Valor],TbRegistrosSaida[Mês Caixa],H6,TbRegistrosSaida[Ano Caixa],$C$3)</f>
        <v>31886</v>
      </c>
      <c r="I11" s="34">
        <f>SUMIFS(TbRegistrosSaida[Valor],TbRegistrosSaida[Mês Caixa],I6,TbRegistrosSaida[Ano Caixa],$C$3)</f>
        <v>7866</v>
      </c>
      <c r="J11" s="34">
        <f>SUMIFS(TbRegistrosSaida[Valor],TbRegistrosSaida[Mês Caixa],J6,TbRegistrosSaida[Ano Caixa],$C$3)</f>
        <v>3124</v>
      </c>
      <c r="K11" s="34">
        <f>SUMIFS(TbRegistrosSaida[Valor],TbRegistrosSaida[Mês Caixa],K6,TbRegistrosSaida[Ano Caixa],$C$3)</f>
        <v>1700</v>
      </c>
      <c r="L11" s="34">
        <f>SUMIFS(TbRegistrosSaida[Valor],TbRegistrosSaida[Mês Caixa],L6,TbRegistrosSaida[Ano Caixa],$C$3)</f>
        <v>3773</v>
      </c>
      <c r="M11" s="34">
        <f>SUMIFS(TbRegistrosSaida[Valor],TbRegistrosSaida[Mês Caixa],M6,TbRegistrosSaida[Ano Caixa],$C$3)</f>
        <v>0</v>
      </c>
      <c r="N11" s="35">
        <f>SUMIFS(TbRegistrosSaida[Valor],TbRegistrosSaida[Mês Caixa],N6,TbRegistrosSaida[Ano Caixa],$C$3)</f>
        <v>0</v>
      </c>
    </row>
    <row r="12" spans="2:14" ht="20.100000000000001" customHeight="1" x14ac:dyDescent="0.25">
      <c r="B12" s="42" t="s">
        <v>539</v>
      </c>
      <c r="C12" s="43">
        <f>C9+C10-C11</f>
        <v>16188</v>
      </c>
      <c r="D12" s="43">
        <f t="shared" ref="D12:N12" si="1">D9+D10-D11</f>
        <v>21863</v>
      </c>
      <c r="E12" s="43">
        <f t="shared" si="1"/>
        <v>23864</v>
      </c>
      <c r="F12" s="43">
        <f t="shared" si="1"/>
        <v>12147</v>
      </c>
      <c r="G12" s="43">
        <f t="shared" si="1"/>
        <v>10954</v>
      </c>
      <c r="H12" s="43">
        <f t="shared" si="1"/>
        <v>-2743</v>
      </c>
      <c r="I12" s="43">
        <f t="shared" si="1"/>
        <v>-2189</v>
      </c>
      <c r="J12" s="43">
        <f t="shared" si="1"/>
        <v>-2976</v>
      </c>
      <c r="K12" s="43">
        <f t="shared" si="1"/>
        <v>-1230</v>
      </c>
      <c r="L12" s="43">
        <f t="shared" si="1"/>
        <v>-3097</v>
      </c>
      <c r="M12" s="43">
        <f t="shared" si="1"/>
        <v>-3097</v>
      </c>
      <c r="N12" s="44">
        <f t="shared" si="1"/>
        <v>-3097</v>
      </c>
    </row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3">
      <c r="B15" s="139" t="s">
        <v>553</v>
      </c>
      <c r="C15" s="139"/>
      <c r="D15" s="139"/>
      <c r="E15" s="139"/>
    </row>
    <row r="16" spans="2:14" ht="20.100000000000001" customHeight="1" x14ac:dyDescent="0.25">
      <c r="B16" s="29" t="s">
        <v>536</v>
      </c>
      <c r="C16" s="30" t="s">
        <v>540</v>
      </c>
      <c r="D16" s="30" t="s">
        <v>541</v>
      </c>
      <c r="E16" s="30" t="s">
        <v>542</v>
      </c>
      <c r="F16" s="30" t="s">
        <v>543</v>
      </c>
      <c r="G16" s="30" t="s">
        <v>544</v>
      </c>
      <c r="H16" s="30" t="s">
        <v>545</v>
      </c>
      <c r="I16" s="30" t="s">
        <v>546</v>
      </c>
      <c r="J16" s="30" t="s">
        <v>547</v>
      </c>
      <c r="K16" s="30" t="s">
        <v>548</v>
      </c>
      <c r="L16" s="30" t="s">
        <v>549</v>
      </c>
      <c r="M16" s="30" t="s">
        <v>550</v>
      </c>
      <c r="N16" s="31" t="s">
        <v>551</v>
      </c>
    </row>
    <row r="17" spans="2:14" ht="20.100000000000001" customHeight="1" x14ac:dyDescent="0.25">
      <c r="B17" s="45" t="s">
        <v>552</v>
      </c>
      <c r="C17" s="46">
        <f>SUMIFS(TbRegistroEntradas[Valor],TbRegistroEntradas[Ano 
Competência],"&lt;"&amp;C3,TbRegistroEntradas[Ano 
Competência],"&lt;&gt;0")-SUMIFS(TbRegistrosSaida[Valor],TbRegistrosSaida[Ano 
Competência],"&lt;"&amp;C3,TbRegistrosSaida[Ano 
Competência],"&lt;&gt;0")</f>
        <v>42367</v>
      </c>
      <c r="D17" s="46">
        <f>C20</f>
        <v>34684</v>
      </c>
      <c r="E17" s="46">
        <f>D20</f>
        <v>40111</v>
      </c>
      <c r="F17" s="46">
        <f t="shared" ref="F17:N17" si="2">E20</f>
        <v>27220</v>
      </c>
      <c r="G17" s="46">
        <f t="shared" si="2"/>
        <v>23048</v>
      </c>
      <c r="H17" s="46">
        <f t="shared" si="2"/>
        <v>8340</v>
      </c>
      <c r="I17" s="46">
        <f t="shared" si="2"/>
        <v>3236</v>
      </c>
      <c r="J17" s="46">
        <f t="shared" si="2"/>
        <v>3236</v>
      </c>
      <c r="K17" s="46">
        <f t="shared" si="2"/>
        <v>3236</v>
      </c>
      <c r="L17" s="46">
        <f t="shared" si="2"/>
        <v>3236</v>
      </c>
      <c r="M17" s="46">
        <f t="shared" si="2"/>
        <v>3236</v>
      </c>
      <c r="N17" s="47">
        <f t="shared" si="2"/>
        <v>3236</v>
      </c>
    </row>
    <row r="18" spans="2:14" ht="20.100000000000001" customHeight="1" x14ac:dyDescent="0.25">
      <c r="B18" s="39" t="s">
        <v>537</v>
      </c>
      <c r="C18" s="34">
        <f>SUMIFS(TbRegistroEntradas[Valor],TbRegistroEntradas[Mês 
Competência],C6,TbRegistroEntradas[Ano 
Competência],$C$3)</f>
        <v>22897</v>
      </c>
      <c r="D18" s="34">
        <f>SUMIFS(TbRegistroEntradas[Valor],TbRegistroEntradas[Mês 
Competência],D6,TbRegistroEntradas[Ano 
Competência],$C$3)</f>
        <v>31755</v>
      </c>
      <c r="E18" s="34">
        <f>SUMIFS(TbRegistroEntradas[Valor],TbRegistroEntradas[Mês 
Competência],E6,TbRegistroEntradas[Ano 
Competência],$C$3)</f>
        <v>18601</v>
      </c>
      <c r="F18" s="34">
        <f>SUMIFS(TbRegistroEntradas[Valor],TbRegistroEntradas[Mês 
Competência],F6,TbRegistroEntradas[Ano 
Competência],$C$3)</f>
        <v>22939</v>
      </c>
      <c r="G18" s="34">
        <f>SUMIFS(TbRegistroEntradas[Valor],TbRegistroEntradas[Mês 
Competência],G6,TbRegistroEntradas[Ano 
Competência],$C$3)</f>
        <v>22602</v>
      </c>
      <c r="H18" s="34">
        <f>SUMIFS(TbRegistroEntradas[Valor],TbRegistroEntradas[Mês 
Competência],H6,TbRegistroEntradas[Ano 
Competência],$C$3)</f>
        <v>11865</v>
      </c>
      <c r="I18" s="34">
        <f>SUMIFS(TbRegistroEntradas[Valor],TbRegistroEntradas[Mês 
Competência],I6,TbRegistroEntradas[Ano 
Competência],$C$3)</f>
        <v>0</v>
      </c>
      <c r="J18" s="34">
        <f>SUMIFS(TbRegistroEntradas[Valor],TbRegistroEntradas[Mês 
Competência],J6,TbRegistroEntradas[Ano 
Competência],$C$3)</f>
        <v>0</v>
      </c>
      <c r="K18" s="34">
        <f>SUMIFS(TbRegistroEntradas[Valor],TbRegistroEntradas[Mês 
Competência],K6,TbRegistroEntradas[Ano 
Competência],$C$3)</f>
        <v>0</v>
      </c>
      <c r="L18" s="34">
        <f>SUMIFS(TbRegistroEntradas[Valor],TbRegistroEntradas[Mês 
Competência],L6,TbRegistroEntradas[Ano 
Competência],$C$3)</f>
        <v>0</v>
      </c>
      <c r="M18" s="34">
        <f>SUMIFS(TbRegistroEntradas[Valor],TbRegistroEntradas[Mês 
Competência],M6,TbRegistroEntradas[Ano 
Competência],$C$3)</f>
        <v>0</v>
      </c>
      <c r="N18" s="35">
        <f>SUMIFS(TbRegistroEntradas[Valor],TbRegistroEntradas[Mês 
Competência],N6,TbRegistroEntradas[Ano 
Competência],$C$3)</f>
        <v>0</v>
      </c>
    </row>
    <row r="19" spans="2:14" ht="20.100000000000001" customHeight="1" x14ac:dyDescent="0.25">
      <c r="B19" s="39" t="s">
        <v>538</v>
      </c>
      <c r="C19" s="34">
        <f>SUMIFS(TbRegistrosSaida[Valor],TbRegistrosSaida[Mês 
Competência],C6,TbRegistrosSaida[Ano 
Competência],$C$3)</f>
        <v>30580</v>
      </c>
      <c r="D19" s="34">
        <f>SUMIFS(TbRegistrosSaida[Valor],TbRegistrosSaida[Mês 
Competência],D6,TbRegistrosSaida[Ano 
Competência],$C$3)</f>
        <v>26328</v>
      </c>
      <c r="E19" s="34">
        <f>SUMIFS(TbRegistrosSaida[Valor],TbRegistrosSaida[Mês 
Competência],E6,TbRegistrosSaida[Ano 
Competência],$C$3)</f>
        <v>31492</v>
      </c>
      <c r="F19" s="34">
        <f>SUMIFS(TbRegistrosSaida[Valor],TbRegistrosSaida[Mês 
Competência],F6,TbRegistrosSaida[Ano 
Competência],$C$3)</f>
        <v>27111</v>
      </c>
      <c r="G19" s="34">
        <f>SUMIFS(TbRegistrosSaida[Valor],TbRegistrosSaida[Mês 
Competência],G6,TbRegistrosSaida[Ano 
Competência],$C$3)</f>
        <v>37310</v>
      </c>
      <c r="H19" s="34">
        <f>SUMIFS(TbRegistrosSaida[Valor],TbRegistrosSaida[Mês 
Competência],H6,TbRegistrosSaida[Ano 
Competência],$C$3)</f>
        <v>16969</v>
      </c>
      <c r="I19" s="34">
        <f>SUMIFS(TbRegistrosSaida[Valor],TbRegistrosSaida[Mês 
Competência],I6,TbRegistrosSaida[Ano 
Competência],$C$3)</f>
        <v>0</v>
      </c>
      <c r="J19" s="34">
        <f>SUMIFS(TbRegistrosSaida[Valor],TbRegistrosSaida[Mês 
Competência],J6,TbRegistrosSaida[Ano 
Competência],$C$3)</f>
        <v>0</v>
      </c>
      <c r="K19" s="34">
        <f>SUMIFS(TbRegistrosSaida[Valor],TbRegistrosSaida[Mês 
Competência],K6,TbRegistrosSaida[Ano 
Competência],$C$3)</f>
        <v>0</v>
      </c>
      <c r="L19" s="34">
        <f>SUMIFS(TbRegistrosSaida[Valor],TbRegistrosSaida[Mês 
Competência],L6,TbRegistrosSaida[Ano 
Competência],$C$3)</f>
        <v>0</v>
      </c>
      <c r="M19" s="34">
        <f>SUMIFS(TbRegistrosSaida[Valor],TbRegistrosSaida[Mês 
Competência],M6,TbRegistrosSaida[Ano 
Competência],$C$3)</f>
        <v>0</v>
      </c>
      <c r="N19" s="35">
        <f>SUMIFS(TbRegistrosSaida[Valor],TbRegistrosSaida[Mês 
Competência],N6,TbRegistrosSaida[Ano 
Competência],$C$3)</f>
        <v>0</v>
      </c>
    </row>
    <row r="20" spans="2:14" ht="20.100000000000001" customHeight="1" x14ac:dyDescent="0.25">
      <c r="B20" s="41" t="s">
        <v>539</v>
      </c>
      <c r="C20" s="36">
        <f>C17+C18-C19</f>
        <v>34684</v>
      </c>
      <c r="D20" s="36">
        <f t="shared" ref="D20:N20" si="3">D17+D18-D19</f>
        <v>40111</v>
      </c>
      <c r="E20" s="36">
        <f t="shared" si="3"/>
        <v>27220</v>
      </c>
      <c r="F20" s="36">
        <f t="shared" si="3"/>
        <v>23048</v>
      </c>
      <c r="G20" s="36">
        <f t="shared" si="3"/>
        <v>8340</v>
      </c>
      <c r="H20" s="36">
        <f t="shared" si="3"/>
        <v>3236</v>
      </c>
      <c r="I20" s="36">
        <f t="shared" si="3"/>
        <v>3236</v>
      </c>
      <c r="J20" s="36">
        <f t="shared" si="3"/>
        <v>3236</v>
      </c>
      <c r="K20" s="36">
        <f t="shared" si="3"/>
        <v>3236</v>
      </c>
      <c r="L20" s="36">
        <f t="shared" si="3"/>
        <v>3236</v>
      </c>
      <c r="M20" s="36">
        <f t="shared" si="3"/>
        <v>3236</v>
      </c>
      <c r="N20" s="37">
        <f t="shared" si="3"/>
        <v>3236</v>
      </c>
    </row>
    <row r="21" spans="2:14" ht="20.100000000000001" customHeight="1" x14ac:dyDescent="0.25"/>
    <row r="22" spans="2:14" ht="20.100000000000001" customHeight="1" x14ac:dyDescent="0.25"/>
    <row r="23" spans="2:14" ht="20.100000000000001" customHeight="1" x14ac:dyDescent="0.3">
      <c r="B23" s="140" t="s">
        <v>554</v>
      </c>
      <c r="C23" s="140"/>
      <c r="D23" s="140"/>
      <c r="E23" s="140"/>
    </row>
    <row r="24" spans="2:14" ht="20.100000000000001" customHeight="1" x14ac:dyDescent="0.25">
      <c r="B24" s="29" t="s">
        <v>536</v>
      </c>
      <c r="C24" s="30" t="s">
        <v>540</v>
      </c>
      <c r="D24" s="30" t="s">
        <v>541</v>
      </c>
      <c r="E24" s="30" t="s">
        <v>542</v>
      </c>
      <c r="F24" s="30" t="s">
        <v>543</v>
      </c>
      <c r="G24" s="30" t="s">
        <v>544</v>
      </c>
      <c r="H24" s="30" t="s">
        <v>545</v>
      </c>
      <c r="I24" s="30" t="s">
        <v>546</v>
      </c>
      <c r="J24" s="30" t="s">
        <v>547</v>
      </c>
      <c r="K24" s="30" t="s">
        <v>548</v>
      </c>
      <c r="L24" s="30" t="s">
        <v>549</v>
      </c>
      <c r="M24" s="30" t="s">
        <v>550</v>
      </c>
      <c r="N24" s="31" t="s">
        <v>551</v>
      </c>
    </row>
    <row r="25" spans="2:14" ht="20.100000000000001" customHeight="1" x14ac:dyDescent="0.25">
      <c r="B25" s="45" t="s">
        <v>555</v>
      </c>
      <c r="C25" s="46">
        <f>C18</f>
        <v>22897</v>
      </c>
      <c r="D25" s="46">
        <f t="shared" ref="D25:N25" si="4">D18</f>
        <v>31755</v>
      </c>
      <c r="E25" s="46">
        <f t="shared" si="4"/>
        <v>18601</v>
      </c>
      <c r="F25" s="46">
        <f t="shared" si="4"/>
        <v>22939</v>
      </c>
      <c r="G25" s="46">
        <f t="shared" si="4"/>
        <v>22602</v>
      </c>
      <c r="H25" s="46">
        <f t="shared" si="4"/>
        <v>11865</v>
      </c>
      <c r="I25" s="46">
        <f t="shared" si="4"/>
        <v>0</v>
      </c>
      <c r="J25" s="46">
        <f t="shared" si="4"/>
        <v>0</v>
      </c>
      <c r="K25" s="46">
        <f t="shared" si="4"/>
        <v>0</v>
      </c>
      <c r="L25" s="46">
        <f t="shared" si="4"/>
        <v>0</v>
      </c>
      <c r="M25" s="46">
        <f t="shared" si="4"/>
        <v>0</v>
      </c>
      <c r="N25" s="47">
        <f t="shared" si="4"/>
        <v>0</v>
      </c>
    </row>
    <row r="26" spans="2:14" ht="20.100000000000001" customHeight="1" x14ac:dyDescent="0.25">
      <c r="B26" s="39" t="s">
        <v>556</v>
      </c>
      <c r="C26" s="34">
        <f>C19</f>
        <v>30580</v>
      </c>
      <c r="D26" s="34">
        <f t="shared" ref="D26:N26" si="5">D19</f>
        <v>26328</v>
      </c>
      <c r="E26" s="34">
        <f t="shared" si="5"/>
        <v>31492</v>
      </c>
      <c r="F26" s="34">
        <f t="shared" si="5"/>
        <v>27111</v>
      </c>
      <c r="G26" s="34">
        <f t="shared" si="5"/>
        <v>37310</v>
      </c>
      <c r="H26" s="34">
        <f t="shared" si="5"/>
        <v>16969</v>
      </c>
      <c r="I26" s="34">
        <f t="shared" si="5"/>
        <v>0</v>
      </c>
      <c r="J26" s="34">
        <f t="shared" si="5"/>
        <v>0</v>
      </c>
      <c r="K26" s="34">
        <f t="shared" si="5"/>
        <v>0</v>
      </c>
      <c r="L26" s="34">
        <f t="shared" si="5"/>
        <v>0</v>
      </c>
      <c r="M26" s="34">
        <f t="shared" si="5"/>
        <v>0</v>
      </c>
      <c r="N26" s="35">
        <f t="shared" si="5"/>
        <v>0</v>
      </c>
    </row>
    <row r="27" spans="2:14" ht="20.100000000000001" customHeight="1" x14ac:dyDescent="0.25">
      <c r="B27" s="40" t="s">
        <v>557</v>
      </c>
      <c r="C27" s="48">
        <f>IF(C25-C26&gt;0,C25-C26,0)</f>
        <v>0</v>
      </c>
      <c r="D27" s="48">
        <f t="shared" ref="D27:N27" si="6">IF(D25-D26&gt;0,D25-D26,0)</f>
        <v>5427</v>
      </c>
      <c r="E27" s="48">
        <f t="shared" si="6"/>
        <v>0</v>
      </c>
      <c r="F27" s="48">
        <f t="shared" si="6"/>
        <v>0</v>
      </c>
      <c r="G27" s="48">
        <f t="shared" si="6"/>
        <v>0</v>
      </c>
      <c r="H27" s="48">
        <f t="shared" si="6"/>
        <v>0</v>
      </c>
      <c r="I27" s="48">
        <f t="shared" si="6"/>
        <v>0</v>
      </c>
      <c r="J27" s="48">
        <f t="shared" si="6"/>
        <v>0</v>
      </c>
      <c r="K27" s="48">
        <f t="shared" si="6"/>
        <v>0</v>
      </c>
      <c r="L27" s="48">
        <f t="shared" si="6"/>
        <v>0</v>
      </c>
      <c r="M27" s="48">
        <f t="shared" si="6"/>
        <v>0</v>
      </c>
      <c r="N27" s="50">
        <f t="shared" si="6"/>
        <v>0</v>
      </c>
    </row>
    <row r="28" spans="2:14" ht="20.100000000000001" customHeight="1" x14ac:dyDescent="0.25">
      <c r="B28" s="41" t="s">
        <v>558</v>
      </c>
      <c r="C28" s="49">
        <f>IF(C18-C19&lt;0,C18-C19,0)</f>
        <v>-7683</v>
      </c>
      <c r="D28" s="49">
        <f t="shared" ref="D28:N28" si="7">IF(D18-D19&lt;0,D18-D19,0)</f>
        <v>0</v>
      </c>
      <c r="E28" s="49">
        <f t="shared" si="7"/>
        <v>-12891</v>
      </c>
      <c r="F28" s="49">
        <f t="shared" si="7"/>
        <v>-4172</v>
      </c>
      <c r="G28" s="49">
        <f t="shared" si="7"/>
        <v>-14708</v>
      </c>
      <c r="H28" s="49">
        <f t="shared" si="7"/>
        <v>-5104</v>
      </c>
      <c r="I28" s="49">
        <f t="shared" si="7"/>
        <v>0</v>
      </c>
      <c r="J28" s="49">
        <f t="shared" si="7"/>
        <v>0</v>
      </c>
      <c r="K28" s="49">
        <f t="shared" si="7"/>
        <v>0</v>
      </c>
      <c r="L28" s="49">
        <f t="shared" si="7"/>
        <v>0</v>
      </c>
      <c r="M28" s="49">
        <f t="shared" si="7"/>
        <v>0</v>
      </c>
      <c r="N28" s="51">
        <f t="shared" si="7"/>
        <v>0</v>
      </c>
    </row>
    <row r="29" spans="2:14" ht="20.100000000000001" customHeight="1" x14ac:dyDescent="0.25">
      <c r="B29" s="41" t="s">
        <v>559</v>
      </c>
      <c r="C29" s="36">
        <f>C18-C19</f>
        <v>-7683</v>
      </c>
      <c r="D29" s="36">
        <f>D25-D26+C29</f>
        <v>-2256</v>
      </c>
      <c r="E29" s="36">
        <f t="shared" ref="E29:N29" si="8">E25-E26+D29</f>
        <v>-15147</v>
      </c>
      <c r="F29" s="36">
        <f t="shared" si="8"/>
        <v>-19319</v>
      </c>
      <c r="G29" s="36">
        <f t="shared" si="8"/>
        <v>-34027</v>
      </c>
      <c r="H29" s="36">
        <f t="shared" si="8"/>
        <v>-39131</v>
      </c>
      <c r="I29" s="36">
        <f t="shared" si="8"/>
        <v>-39131</v>
      </c>
      <c r="J29" s="36">
        <f t="shared" si="8"/>
        <v>-39131</v>
      </c>
      <c r="K29" s="36">
        <f t="shared" si="8"/>
        <v>-39131</v>
      </c>
      <c r="L29" s="36">
        <f t="shared" si="8"/>
        <v>-39131</v>
      </c>
      <c r="M29" s="36">
        <f t="shared" si="8"/>
        <v>-39131</v>
      </c>
      <c r="N29" s="37">
        <f t="shared" si="8"/>
        <v>-39131</v>
      </c>
    </row>
    <row r="30" spans="2:14" ht="20.100000000000001" customHeight="1" x14ac:dyDescent="0.25"/>
    <row r="31" spans="2:14" ht="20.100000000000001" customHeight="1" x14ac:dyDescent="0.25"/>
    <row r="32" spans="2:14" ht="20.100000000000001" customHeight="1" x14ac:dyDescent="0.25"/>
    <row r="33" ht="20.100000000000001" customHeight="1" x14ac:dyDescent="0.25"/>
    <row r="34" ht="20.100000000000001" customHeight="1" x14ac:dyDescent="0.25"/>
  </sheetData>
  <mergeCells count="3">
    <mergeCell ref="B7:D7"/>
    <mergeCell ref="B15:E15"/>
    <mergeCell ref="B23:E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27</vt:i4>
      </vt:variant>
    </vt:vector>
  </HeadingPairs>
  <TitlesOfParts>
    <vt:vector size="47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RegistroSaidas</vt:lpstr>
      <vt:lpstr>FluxoDeCaixaConsolidado</vt:lpstr>
      <vt:lpstr>DetalhamentoDaReceita</vt:lpstr>
      <vt:lpstr>DetalhamentoDaDespesa</vt:lpstr>
      <vt:lpstr>ContasAPagar</vt:lpstr>
      <vt:lpstr>ContasAReceber</vt:lpstr>
      <vt:lpstr>ContasVencidasAReceber</vt:lpstr>
      <vt:lpstr>Dashboard financeiro anual</vt:lpstr>
      <vt:lpstr>Dashboard financeiro atual</vt:lpstr>
      <vt:lpstr>Dashboard financeiro anualD</vt:lpstr>
      <vt:lpstr>Dashboard financeiro atualD</vt:lpstr>
      <vt:lpstr>Entradas</vt:lpstr>
      <vt:lpstr>Saídas</vt:lpstr>
      <vt:lpstr>'Dashboard financeiro atual'!PcEntradasN1</vt:lpstr>
      <vt:lpstr>'Dashboard financeiro atualD'!PcEntradasN1</vt:lpstr>
      <vt:lpstr>PcEntradasN1</vt:lpstr>
      <vt:lpstr>'Dashboard financeiro atual'!PCEntradasN2_Nivel_1</vt:lpstr>
      <vt:lpstr>'Dashboard financeiro atualD'!PCEntradasN2_Nivel_1</vt:lpstr>
      <vt:lpstr>PCEntradasN2_Nivel_1</vt:lpstr>
      <vt:lpstr>'Dashboard financeiro atual'!PCEntradasN2_Nivel2</vt:lpstr>
      <vt:lpstr>'Dashboard financeiro atualD'!PCEntradasN2_Nivel2</vt:lpstr>
      <vt:lpstr>PCEntradasN2_Nivel2</vt:lpstr>
      <vt:lpstr>'Dashboard financeiro atual'!PcEntradasN2N1</vt:lpstr>
      <vt:lpstr>'Dashboard financeiro atualD'!PcEntradasN2N1</vt:lpstr>
      <vt:lpstr>PcEntradasN2N1</vt:lpstr>
      <vt:lpstr>'Dashboard financeiro atual'!pcEntradasN2N2</vt:lpstr>
      <vt:lpstr>'Dashboard financeiro atualD'!pcEntradasN2N2</vt:lpstr>
      <vt:lpstr>pcEntradasN2N2</vt:lpstr>
      <vt:lpstr>'Dashboard financeiro atual'!SaidasN2n1</vt:lpstr>
      <vt:lpstr>'Dashboard financeiro atualD'!SaidasN2n1</vt:lpstr>
      <vt:lpstr>SaidasN2n1</vt:lpstr>
      <vt:lpstr>'Dashboard financeiro atual'!SaidasN2N2</vt:lpstr>
      <vt:lpstr>'Dashboard financeiro atualD'!SaidasN2N2</vt:lpstr>
      <vt:lpstr>SaidasN2N2</vt:lpstr>
      <vt:lpstr>'Dashboard financeiro atual'!SaidasNivel1</vt:lpstr>
      <vt:lpstr>'Dashboard financeiro atualD'!SaidasNivel1</vt:lpstr>
      <vt:lpstr>SaidasNivel1</vt:lpstr>
      <vt:lpstr>'Dashboard financeiro atual'!TBPCSaidasN1</vt:lpstr>
      <vt:lpstr>'Dashboard financeiro atualD'!TBPCSaidasN1</vt:lpstr>
      <vt:lpstr>TBPCSaidasN1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2024-04-12T19:20:08Z</dcterms:modified>
</cp:coreProperties>
</file>