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kaja\Documents\Class\AnalysisProjects\kickstarter-analysis\kickstarter-analysis\"/>
    </mc:Choice>
  </mc:AlternateContent>
  <xr:revisionPtr revIDLastSave="0" documentId="13_ncr:1_{EA39C30D-EB3E-4087-9854-970EE77B180A}" xr6:coauthVersionLast="47" xr6:coauthVersionMax="47" xr10:uidLastSave="{00000000-0000-0000-0000-000000000000}"/>
  <bookViews>
    <workbookView xWindow="57480" yWindow="-120" windowWidth="29040" windowHeight="15720" tabRatio="835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Successful US Kickstarters" sheetId="7" r:id="rId4"/>
    <sheet name="Failed US Kickstarters" sheetId="8" r:id="rId5"/>
    <sheet name="Descriptive Statistics" sheetId="9" r:id="rId6"/>
    <sheet name="Edinburgh Research" sheetId="6" r:id="rId7"/>
    <sheet name="Category Statistics" sheetId="2" r:id="rId8"/>
    <sheet name="Subcategory Statistics" sheetId="4" r:id="rId9"/>
    <sheet name="LaunchDate" sheetId="5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E12" i="12" s="1"/>
  <c r="B12" i="12"/>
  <c r="D11" i="12"/>
  <c r="C11" i="12"/>
  <c r="B11" i="12"/>
  <c r="D10" i="12"/>
  <c r="C10" i="12"/>
  <c r="B10" i="12"/>
  <c r="E10" i="12" s="1"/>
  <c r="D9" i="12"/>
  <c r="E9" i="12" s="1"/>
  <c r="H9" i="12" s="1"/>
  <c r="C9" i="12"/>
  <c r="B9" i="12"/>
  <c r="D8" i="12"/>
  <c r="H8" i="12" s="1"/>
  <c r="C8" i="12"/>
  <c r="E8" i="12" s="1"/>
  <c r="F8" i="12" s="1"/>
  <c r="B8" i="12"/>
  <c r="D7" i="12"/>
  <c r="C7" i="12"/>
  <c r="B7" i="12"/>
  <c r="D6" i="12"/>
  <c r="C6" i="12"/>
  <c r="B6" i="12"/>
  <c r="E6" i="12" s="1"/>
  <c r="D5" i="12"/>
  <c r="C5" i="12"/>
  <c r="B5" i="12"/>
  <c r="E5" i="12" s="1"/>
  <c r="F5" i="12" s="1"/>
  <c r="D4" i="12"/>
  <c r="C4" i="12"/>
  <c r="B4" i="12"/>
  <c r="E4" i="12" s="1"/>
  <c r="H4" i="12" s="1"/>
  <c r="D3" i="12"/>
  <c r="C3" i="12"/>
  <c r="B3" i="12"/>
  <c r="E3" i="12" s="1"/>
  <c r="H3" i="12" s="1"/>
  <c r="D2" i="12"/>
  <c r="C2" i="12"/>
  <c r="B2" i="12"/>
  <c r="E13" i="12"/>
  <c r="E11" i="12"/>
  <c r="F11" i="12" s="1"/>
  <c r="E7" i="12"/>
  <c r="F7" i="12" s="1"/>
  <c r="C15" i="9"/>
  <c r="B15" i="9"/>
  <c r="C14" i="9"/>
  <c r="B14" i="9"/>
  <c r="C13" i="9"/>
  <c r="B13" i="9"/>
  <c r="C12" i="9"/>
  <c r="B12" i="9"/>
  <c r="C7" i="9"/>
  <c r="B7" i="9"/>
  <c r="C6" i="9"/>
  <c r="B6" i="9"/>
  <c r="C5" i="9"/>
  <c r="B5" i="9"/>
  <c r="C4" i="9"/>
  <c r="B4" i="9"/>
  <c r="C11" i="9"/>
  <c r="B11" i="9"/>
  <c r="C10" i="9"/>
  <c r="B10" i="9"/>
  <c r="C3" i="9"/>
  <c r="C2" i="9"/>
  <c r="B3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6" i="12" l="1"/>
  <c r="H6" i="12"/>
  <c r="F6" i="12"/>
  <c r="F10" i="12"/>
  <c r="H10" i="12"/>
  <c r="G3" i="12"/>
  <c r="H7" i="12"/>
  <c r="F12" i="12"/>
  <c r="H12" i="12"/>
  <c r="G8" i="12"/>
  <c r="G9" i="12"/>
  <c r="H13" i="12"/>
  <c r="E2" i="12"/>
  <c r="F2" i="12" s="1"/>
  <c r="F3" i="12"/>
  <c r="F4" i="12"/>
  <c r="G12" i="12"/>
  <c r="H11" i="12"/>
  <c r="H5" i="12"/>
  <c r="F13" i="12"/>
  <c r="G11" i="12"/>
  <c r="G5" i="12"/>
  <c r="G10" i="12"/>
  <c r="G4" i="12"/>
  <c r="G7" i="12"/>
  <c r="F9" i="12"/>
  <c r="G13" i="12"/>
  <c r="G2" i="12" l="1"/>
  <c r="H2" i="12"/>
</calcChain>
</file>

<file path=xl/sharedStrings.xml><?xml version="1.0" encoding="utf-8"?>
<sst xmlns="http://schemas.openxmlformats.org/spreadsheetml/2006/main" count="38385" uniqueCount="8419">
  <si>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</si>
  <si>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</si>
  <si>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</si>
  <si>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</si>
  <si>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</si>
  <si>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</si>
  <si>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</si>
  <si>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</si>
  <si>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</si>
  <si>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</si>
  <si>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</si>
  <si>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</si>
  <si>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</si>
  <si>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</si>
  <si>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</si>
  <si>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</si>
  <si>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</si>
  <si>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</si>
  <si>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</si>
  <si>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</si>
  <si>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</si>
  <si>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</si>
  <si>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</si>
  <si>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</si>
  <si>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</si>
  <si>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</si>
  <si>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</si>
  <si>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</si>
  <si>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</si>
  <si>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</si>
  <si>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</si>
  <si>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</si>
  <si>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</si>
  <si>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</si>
  <si>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</si>
  <si>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</si>
  <si>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</si>
  <si>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</si>
  <si>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</si>
  <si>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</si>
  <si>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</si>
  <si>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</si>
  <si>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</si>
  <si>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</si>
  <si>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</si>
  <si>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</si>
  <si>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</si>
  <si>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</si>
  <si>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</si>
  <si>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</si>
  <si>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</si>
  <si>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</si>
  <si>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</si>
  <si>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</si>
  <si>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</si>
  <si>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</si>
  <si>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</si>
  <si>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</si>
  <si>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</si>
  <si>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</si>
  <si>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</si>
  <si>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</si>
  <si>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</si>
  <si>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</si>
  <si>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</si>
  <si>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</si>
  <si>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</si>
  <si>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</si>
  <si>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</si>
  <si>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</si>
  <si>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</si>
  <si>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</si>
  <si>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</si>
  <si>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</si>
  <si>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</si>
  <si>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</si>
  <si>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</si>
  <si>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</si>
  <si>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</si>
  <si>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</si>
  <si>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</si>
  <si>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</si>
  <si>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</si>
  <si>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</si>
  <si>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</si>
  <si>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</si>
  <si>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</si>
  <si>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</si>
  <si>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</si>
  <si>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</si>
  <si>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</si>
  <si>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</si>
  <si>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</si>
  <si>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</si>
  <si>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</si>
  <si>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</si>
  <si>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</si>
  <si>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</si>
  <si>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</si>
  <si>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</si>
  <si>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</si>
  <si>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</si>
  <si>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</si>
  <si>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</si>
  <si>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</si>
  <si>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</si>
  <si>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</si>
  <si>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</si>
  <si>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</si>
  <si>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</si>
  <si>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</si>
  <si>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</si>
  <si>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</si>
  <si>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</si>
  <si>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</si>
  <si>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</si>
  <si>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</si>
  <si>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</si>
  <si>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</si>
  <si>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</si>
  <si>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</si>
  <si>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</si>
  <si>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</si>
  <si>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</si>
  <si>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</si>
  <si>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</si>
  <si>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</si>
  <si>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</si>
  <si>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</si>
  <si>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</si>
  <si>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</si>
  <si>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</si>
  <si>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</si>
  <si>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</si>
  <si>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</si>
  <si>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</si>
  <si>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</si>
  <si>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</si>
  <si>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</si>
  <si>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</si>
  <si>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</si>
  <si>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</si>
  <si>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</si>
  <si>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</si>
  <si>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</si>
  <si>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</si>
  <si>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</si>
  <si>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</si>
  <si>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</si>
  <si>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</si>
  <si>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</si>
  <si>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</si>
  <si>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</si>
  <si>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</si>
  <si>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</si>
  <si>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</si>
  <si>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</si>
  <si>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</si>
  <si>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</si>
  <si>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</si>
  <si>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</si>
  <si>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</si>
  <si>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</si>
  <si>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</si>
  <si>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</si>
  <si>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</si>
  <si>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</si>
  <si>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</si>
  <si>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</si>
  <si>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</si>
  <si>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</si>
  <si>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</si>
  <si>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</si>
  <si>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</si>
  <si>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</si>
  <si>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</si>
  <si>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</si>
  <si>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</si>
  <si>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</si>
  <si>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</si>
  <si>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</si>
  <si>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</si>
  <si>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</si>
  <si>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</si>
  <si>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</si>
  <si>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</si>
  <si>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</si>
  <si>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</si>
  <si>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</si>
  <si>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</si>
  <si>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</si>
  <si>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</si>
  <si>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</si>
  <si>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</si>
  <si>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</si>
  <si>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</si>
  <si>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</si>
  <si>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</si>
  <si>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</si>
  <si>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</si>
  <si>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</si>
  <si>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</si>
  <si>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</si>
  <si>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</si>
  <si>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</si>
  <si>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</si>
  <si>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</si>
  <si>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</si>
  <si>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</si>
  <si>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</si>
  <si>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</si>
  <si>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</si>
  <si>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</si>
  <si>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</si>
  <si>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</si>
  <si>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</si>
  <si>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</si>
  <si>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</si>
  <si>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</si>
  <si>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</si>
  <si>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</si>
  <si>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</si>
  <si>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</si>
  <si>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</si>
  <si>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</si>
  <si>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</si>
  <si>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</si>
  <si>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</si>
  <si>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</si>
  <si>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</si>
  <si>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</si>
  <si>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</si>
  <si>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</si>
  <si>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</si>
  <si>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</si>
  <si>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</si>
  <si>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</si>
  <si>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</si>
  <si>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</si>
  <si>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</si>
  <si>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</si>
  <si>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</si>
  <si>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</si>
  <si>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</si>
  <si>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</si>
  <si>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</si>
  <si>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</si>
  <si>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</si>
  <si>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</si>
  <si>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</si>
  <si>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</si>
  <si>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</si>
  <si>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</si>
  <si>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</si>
  <si>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</si>
  <si>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</si>
  <si>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</si>
  <si>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</si>
  <si>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</si>
  <si>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</si>
  <si>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</si>
  <si>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</si>
  <si>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</si>
  <si>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</si>
  <si>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</si>
  <si>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</si>
  <si>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</si>
  <si>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</si>
  <si>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</si>
  <si>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</si>
  <si>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</si>
  <si>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</si>
  <si>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</si>
  <si>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</si>
  <si>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</si>
  <si>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</si>
  <si>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</si>
  <si>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</si>
  <si>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</si>
  <si>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</si>
  <si>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</si>
  <si>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</si>
  <si>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</si>
  <si>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</si>
  <si>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</si>
  <si>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</si>
  <si>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</si>
  <si>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</si>
  <si>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</si>
  <si>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</si>
  <si>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</si>
  <si>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</si>
  <si>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</si>
  <si>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</si>
  <si>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</si>
  <si>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</si>
  <si>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</si>
  <si>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</si>
  <si>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</si>
  <si>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</si>
  <si>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</si>
  <si>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</si>
  <si>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</si>
  <si>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</si>
  <si>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</si>
  <si>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</si>
  <si>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</si>
  <si>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</si>
  <si>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</si>
  <si>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</si>
  <si>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</si>
  <si>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</si>
  <si>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</si>
  <si>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</si>
  <si>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</si>
  <si>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</si>
  <si>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</si>
  <si>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</si>
  <si>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</si>
  <si>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</si>
  <si>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</si>
  <si>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</si>
  <si>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</si>
  <si>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</si>
  <si>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</si>
  <si>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</si>
  <si>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</si>
  <si>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</si>
  <si>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</si>
  <si>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</si>
  <si>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</si>
  <si>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</si>
  <si>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</si>
  <si>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</si>
  <si>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</si>
  <si>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</si>
  <si>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</si>
  <si>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</si>
  <si>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</si>
  <si>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</si>
  <si>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</si>
  <si>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</si>
  <si>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</si>
  <si>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</si>
  <si>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</si>
  <si>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</si>
  <si>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</si>
  <si>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</si>
  <si>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</si>
  <si>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</si>
  <si>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</si>
  <si>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</si>
  <si>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</si>
  <si>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</si>
  <si>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</si>
  <si>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</si>
  <si>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</si>
  <si>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</si>
  <si>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</si>
  <si>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</si>
  <si>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</si>
  <si>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</si>
  <si>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</si>
  <si>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</si>
  <si>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</si>
  <si>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</si>
  <si>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</si>
  <si>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</si>
  <si>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</si>
  <si>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</si>
  <si>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</si>
  <si>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</si>
  <si>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</si>
  <si>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</si>
  <si>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</si>
  <si>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</si>
  <si>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</si>
  <si>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</si>
  <si>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</si>
  <si>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</si>
  <si>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</si>
  <si>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</si>
  <si>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</si>
  <si>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</si>
  <si>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</si>
  <si>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</si>
  <si>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</si>
  <si>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</si>
  <si>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</si>
  <si>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</si>
  <si>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</si>
  <si>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</si>
  <si>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</si>
  <si>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</si>
  <si>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</si>
  <si>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</si>
  <si>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</si>
  <si>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</si>
  <si>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</si>
  <si>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</si>
  <si>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</si>
  <si>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</si>
  <si>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</si>
  <si>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</si>
  <si>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</si>
  <si>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</si>
  <si>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</si>
  <si>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</si>
  <si>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</si>
  <si>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</si>
  <si>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</si>
  <si>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</si>
  <si>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</si>
  <si>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</si>
  <si>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</si>
  <si>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</si>
  <si>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</si>
  <si>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</si>
  <si>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</si>
  <si>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</si>
  <si>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</si>
  <si>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</si>
  <si>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</si>
  <si>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</si>
  <si>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</si>
  <si>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</si>
  <si>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</si>
  <si>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</si>
  <si>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</si>
  <si>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</si>
  <si>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</si>
  <si>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</si>
  <si>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</si>
  <si>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</si>
  <si>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</si>
  <si>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</si>
  <si>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</si>
  <si>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</si>
  <si>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</si>
  <si>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</si>
  <si>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</si>
  <si>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</si>
  <si>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</si>
  <si>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</si>
  <si>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</si>
  <si>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</si>
  <si>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</si>
  <si>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</si>
  <si>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</si>
  <si>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</si>
  <si>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</si>
  <si>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</si>
  <si>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</si>
  <si>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</si>
  <si>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</si>
  <si>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</si>
  <si>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</si>
  <si>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</si>
  <si>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</si>
  <si>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</si>
  <si>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</si>
  <si>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</si>
  <si>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</si>
  <si>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</si>
  <si>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</si>
  <si>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</si>
  <si>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</si>
  <si>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</si>
  <si>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</si>
  <si>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</si>
  <si>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</si>
  <si>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</si>
  <si>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</si>
  <si>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</si>
  <si>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</si>
  <si>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</si>
  <si>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</si>
  <si>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</si>
  <si>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</si>
  <si>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</si>
  <si>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</si>
  <si>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</si>
  <si>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</si>
  <si>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</si>
  <si>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</si>
  <si>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</si>
  <si>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</si>
  <si>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</si>
  <si>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</si>
  <si>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</si>
  <si>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</si>
  <si>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</si>
  <si>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</si>
  <si>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</si>
  <si>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</si>
  <si>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</si>
  <si>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</si>
  <si>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</si>
  <si>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</si>
  <si>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</si>
  <si>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</si>
  <si>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</si>
  <si>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</si>
  <si>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</si>
  <si>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</si>
  <si>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</si>
  <si>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</si>
  <si>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</si>
  <si>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</si>
  <si>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</si>
  <si>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</si>
  <si>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</si>
  <si>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</si>
  <si>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</si>
  <si>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</si>
  <si>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</si>
  <si>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</si>
  <si>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</si>
  <si>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</si>
  <si>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</si>
  <si>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</si>
  <si>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</si>
  <si>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</si>
  <si>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</si>
  <si>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</si>
  <si>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</si>
  <si>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</si>
  <si>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</si>
  <si>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</si>
  <si>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</si>
  <si>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</si>
  <si>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</si>
  <si>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</si>
  <si>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</si>
  <si>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</si>
  <si>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</si>
  <si>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</si>
  <si>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</si>
  <si>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</si>
  <si>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</si>
  <si>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</si>
  <si>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</si>
  <si>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</si>
  <si>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</si>
  <si>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</si>
  <si>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</si>
  <si>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</si>
  <si>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</si>
  <si>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</si>
  <si>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</si>
  <si>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</si>
  <si>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</si>
  <si>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</si>
  <si>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</si>
  <si>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</si>
  <si>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</si>
  <si>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</si>
  <si>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</si>
  <si>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</si>
  <si>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</si>
  <si>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</si>
  <si>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</si>
  <si>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</si>
  <si>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</si>
  <si>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</si>
  <si>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</si>
  <si>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</si>
  <si>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</si>
  <si>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</si>
  <si>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</si>
  <si>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</si>
  <si>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</si>
  <si>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</si>
  <si>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</si>
  <si>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</si>
  <si>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</si>
  <si>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</si>
  <si>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</si>
  <si>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</si>
  <si>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</si>
  <si>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</si>
  <si>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</si>
  <si>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</si>
  <si>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</si>
  <si>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</si>
  <si>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</si>
  <si>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</si>
  <si>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</si>
  <si>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</si>
  <si>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</si>
  <si>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</si>
  <si>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</si>
  <si>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</si>
  <si>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</si>
  <si>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</si>
  <si>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</si>
  <si>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</si>
  <si>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</si>
  <si>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</si>
  <si>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</si>
  <si>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</si>
  <si>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</si>
  <si>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</si>
  <si>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</si>
  <si>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</si>
  <si>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</si>
  <si>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</si>
  <si>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</si>
  <si>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</si>
  <si>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</si>
  <si>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</si>
  <si>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</si>
  <si>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</si>
  <si>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</si>
  <si>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</si>
  <si>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</si>
  <si>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</si>
  <si>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</si>
  <si>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</si>
  <si>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</si>
  <si>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</si>
  <si>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</si>
  <si>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</si>
  <si>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</si>
  <si>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</si>
  <si>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</si>
  <si>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</si>
  <si>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</si>
  <si>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</si>
  <si>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</si>
  <si>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</si>
  <si>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</si>
  <si>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</si>
  <si>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</si>
  <si>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</si>
  <si>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</si>
  <si>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</si>
  <si>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</si>
  <si>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</si>
  <si>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</si>
  <si>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</si>
  <si>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</si>
  <si>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</si>
  <si>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</si>
  <si>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</si>
  <si>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</si>
  <si>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</si>
  <si>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</si>
  <si>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</si>
  <si>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</si>
  <si>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</si>
  <si>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</si>
  <si>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</si>
  <si>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</si>
  <si>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</si>
  <si>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</si>
  <si>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</si>
  <si>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</si>
  <si>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</si>
  <si>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</si>
  <si>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</si>
  <si>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</si>
  <si>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</si>
  <si>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</si>
  <si>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</si>
  <si>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</si>
  <si>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</si>
  <si>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</si>
  <si>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</si>
  <si>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</si>
  <si>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</si>
  <si>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</si>
  <si>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</si>
  <si>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</si>
  <si>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</si>
  <si>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</si>
  <si>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</si>
  <si>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</si>
  <si>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</si>
  <si>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</si>
  <si>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</si>
  <si>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</si>
  <si>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</si>
  <si>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</si>
  <si>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</si>
  <si>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</si>
  <si>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</si>
  <si>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</si>
  <si>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</si>
  <si>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</si>
  <si>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</si>
  <si>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</si>
  <si>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</si>
  <si>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</si>
  <si>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</si>
  <si>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</si>
  <si>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</si>
  <si>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</si>
  <si>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</si>
  <si>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</si>
  <si>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</si>
  <si>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</si>
  <si>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</si>
  <si>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</si>
  <si>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</si>
  <si>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</si>
  <si>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</si>
  <si>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</si>
  <si>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</si>
  <si>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</si>
  <si>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</si>
  <si>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</si>
  <si>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</si>
  <si>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</si>
  <si>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</si>
  <si>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</si>
  <si>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</si>
  <si>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</si>
  <si>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</si>
  <si>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</si>
  <si>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</si>
  <si>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</si>
  <si>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</si>
  <si>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</si>
  <si>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</si>
  <si>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</si>
  <si>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</si>
  <si>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</si>
  <si>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</si>
  <si>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</si>
  <si>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</si>
  <si>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</si>
  <si>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</si>
  <si>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</si>
  <si>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</si>
  <si>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</si>
  <si>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</si>
  <si>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</si>
  <si>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</si>
  <si>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</si>
  <si>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</si>
  <si>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</si>
  <si>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</si>
  <si>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</si>
  <si>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</si>
  <si>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</si>
  <si>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</si>
  <si>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</si>
  <si>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</si>
  <si>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</si>
  <si>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</si>
  <si>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</si>
  <si>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</si>
  <si>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</si>
  <si>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</si>
  <si>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</si>
  <si>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</si>
  <si>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</si>
  <si>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</si>
  <si>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</si>
  <si>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</si>
  <si>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</si>
  <si>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</si>
  <si>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</si>
  <si>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</si>
  <si>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</si>
  <si>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</si>
  <si>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</si>
  <si>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</si>
  <si>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</si>
  <si>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</si>
  <si>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</si>
  <si>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</si>
  <si>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</si>
  <si>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</si>
  <si>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</si>
  <si>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</si>
  <si>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</si>
  <si>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</si>
  <si>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</si>
  <si>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</si>
  <si>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</si>
  <si>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</si>
  <si>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</si>
  <si>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</si>
  <si>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</si>
  <si>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</si>
  <si>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</si>
  <si>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</si>
  <si>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</si>
  <si>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</si>
  <si>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</si>
  <si>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</si>
  <si>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</si>
  <si>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</si>
  <si>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</si>
  <si>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</si>
  <si>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</si>
  <si>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</si>
  <si>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</si>
  <si>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</si>
  <si>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</si>
  <si>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</si>
  <si>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</si>
  <si>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</si>
  <si>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</si>
  <si>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</si>
  <si>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</si>
  <si>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</si>
  <si>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</si>
  <si>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</si>
  <si>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</si>
  <si>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</si>
  <si>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</si>
  <si>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</si>
  <si>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</si>
  <si>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</si>
  <si>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</si>
  <si>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</si>
  <si>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</si>
  <si>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</si>
  <si>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</si>
  <si>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</si>
  <si>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</si>
  <si>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</si>
  <si>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</si>
  <si>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</si>
  <si>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</si>
  <si>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</si>
  <si>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</si>
  <si>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</si>
  <si>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</si>
  <si>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</si>
  <si>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</si>
  <si>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</si>
  <si>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</si>
  <si>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</si>
  <si>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</si>
  <si>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</si>
  <si>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</si>
  <si>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</si>
  <si>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</si>
  <si>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</si>
  <si>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</si>
  <si>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</si>
  <si>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</si>
  <si>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</si>
  <si>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</si>
  <si>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</si>
  <si>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</si>
  <si>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</si>
  <si>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</si>
  <si>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</si>
  <si>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</si>
  <si>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</si>
  <si>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</si>
  <si>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</si>
  <si>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</si>
  <si>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</si>
  <si>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</si>
  <si>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</si>
  <si>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</si>
  <si>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</si>
  <si>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</si>
  <si>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</si>
  <si>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</si>
  <si>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</si>
  <si>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</si>
  <si>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</si>
  <si>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</si>
  <si>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</si>
  <si>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</si>
  <si>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</si>
  <si>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</si>
  <si>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</si>
  <si>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</si>
  <si>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</si>
  <si>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</si>
  <si>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</si>
  <si>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</si>
  <si>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</si>
  <si>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</si>
  <si>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</si>
  <si>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</si>
  <si>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</si>
  <si>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</si>
  <si>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</si>
  <si>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</si>
  <si>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</si>
  <si>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</si>
  <si>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</si>
  <si>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</si>
  <si>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</si>
  <si>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</si>
  <si>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</si>
  <si>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</si>
  <si>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</si>
  <si>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</si>
  <si>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</si>
  <si>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</si>
  <si>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</si>
  <si>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</si>
  <si>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</si>
  <si>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</si>
  <si>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</si>
  <si>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</si>
  <si>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</si>
  <si>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</si>
  <si>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</si>
  <si>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</si>
  <si>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</si>
  <si>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</si>
  <si>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</si>
  <si>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</si>
  <si>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</si>
  <si>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</si>
  <si>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</si>
  <si>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</si>
  <si>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</si>
  <si>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</si>
  <si>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</si>
  <si>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</si>
  <si>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</si>
  <si>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</si>
  <si>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</si>
  <si>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</si>
  <si>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</si>
  <si>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</si>
  <si>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</si>
  <si>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</si>
  <si>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</si>
  <si>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</si>
  <si>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</si>
  <si>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</si>
  <si>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</si>
  <si>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</si>
  <si>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</si>
  <si>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</si>
  <si>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</si>
  <si>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</si>
  <si>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</si>
  <si>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</si>
  <si>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</si>
  <si>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</si>
  <si>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</si>
  <si>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</si>
  <si>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</si>
  <si>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</si>
  <si>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</si>
  <si>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</si>
  <si>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</si>
  <si>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</si>
  <si>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</si>
  <si>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</si>
  <si>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</si>
  <si>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</si>
  <si>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</si>
  <si>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</si>
  <si>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</si>
  <si>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</si>
  <si>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</si>
  <si>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</si>
  <si>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</si>
  <si>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</si>
  <si>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</si>
  <si>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</si>
  <si>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</si>
  <si>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</si>
  <si>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</si>
  <si>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</si>
  <si>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</si>
  <si>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</si>
  <si>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</si>
  <si>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</si>
  <si>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</si>
  <si>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</si>
  <si>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</si>
  <si>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</si>
  <si>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</si>
  <si>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</si>
  <si>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</si>
  <si>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</si>
  <si>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</si>
  <si>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</si>
  <si>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</si>
  <si>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</si>
  <si>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</si>
  <si>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</si>
  <si>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</si>
  <si>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</si>
  <si>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</si>
  <si>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</si>
  <si>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</si>
  <si>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</si>
  <si>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</si>
  <si>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</si>
  <si>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</si>
  <si>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</si>
  <si>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</si>
  <si>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</si>
  <si>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</si>
  <si>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</si>
  <si>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</si>
  <si>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</si>
  <si>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</si>
  <si>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</si>
  <si>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</si>
  <si>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</si>
  <si>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</si>
  <si>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</si>
  <si>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</si>
  <si>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</si>
  <si>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</si>
  <si>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</si>
  <si>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</si>
  <si>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</si>
  <si>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</si>
  <si>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</si>
  <si>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</si>
  <si>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</si>
  <si>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</si>
  <si>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</si>
  <si>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</si>
  <si>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</si>
  <si>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</si>
  <si>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</si>
  <si>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</si>
  <si>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</si>
  <si>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</si>
  <si>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</si>
  <si>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</si>
  <si>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</si>
  <si>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</si>
  <si>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</si>
  <si>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</si>
  <si>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</si>
  <si>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</si>
  <si>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</si>
  <si>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</si>
  <si>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</si>
  <si>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</si>
  <si>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</si>
  <si>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</si>
  <si>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</si>
  <si>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</si>
  <si>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</si>
  <si>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</si>
  <si>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</si>
  <si>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</si>
  <si>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</si>
  <si>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</si>
  <si>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</si>
  <si>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</si>
  <si>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</si>
  <si>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</si>
  <si>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</si>
  <si>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</si>
  <si>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</si>
  <si>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</si>
  <si>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</si>
  <si>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</si>
  <si>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</si>
  <si>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</si>
  <si>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</si>
  <si>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</si>
  <si>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</si>
  <si>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</si>
  <si>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</si>
  <si>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</si>
  <si>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</si>
  <si>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</si>
  <si>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</si>
  <si>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</si>
  <si>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</si>
  <si>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</si>
  <si>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</si>
  <si>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</si>
  <si>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</si>
  <si>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</si>
  <si>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</si>
  <si>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</si>
  <si>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</si>
  <si>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</si>
  <si>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</si>
  <si>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</si>
  <si>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</si>
  <si>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</si>
  <si>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</si>
  <si>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</si>
  <si>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</si>
  <si>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</si>
  <si>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</si>
  <si>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</si>
  <si>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</si>
  <si>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</si>
  <si>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</si>
  <si>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</si>
  <si>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</si>
  <si>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</si>
  <si>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</si>
  <si>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</si>
  <si>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</si>
  <si>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</si>
  <si>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</si>
  <si>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</si>
  <si>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</si>
  <si>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</si>
  <si>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</si>
  <si>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</si>
  <si>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</si>
  <si>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</si>
  <si>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</si>
  <si>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</si>
  <si>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</si>
  <si>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</si>
  <si>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</si>
  <si>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</si>
  <si>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</si>
  <si>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</si>
  <si>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</si>
  <si>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</si>
  <si>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</si>
  <si>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</si>
  <si>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</si>
  <si>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</si>
  <si>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</si>
  <si>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</si>
  <si>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</si>
  <si>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</si>
  <si>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</si>
  <si>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</si>
  <si>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</si>
  <si>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</si>
  <si>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</si>
  <si>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</si>
  <si>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</si>
  <si>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</si>
  <si>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</si>
  <si>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</si>
  <si>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</si>
  <si>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</si>
  <si>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</si>
  <si>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</si>
  <si>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</si>
  <si>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</si>
  <si>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</si>
  <si>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</si>
  <si>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</si>
  <si>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</si>
  <si>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</si>
  <si>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</si>
  <si>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</si>
  <si>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</si>
  <si>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</si>
  <si>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</si>
  <si>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</si>
  <si>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</si>
  <si>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</si>
  <si>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</si>
  <si>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</si>
  <si>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</si>
  <si>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</si>
  <si>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</si>
  <si>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</si>
  <si>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</si>
  <si>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</si>
  <si>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</si>
  <si>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</si>
  <si>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</si>
  <si>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</si>
  <si>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</si>
  <si>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</si>
  <si>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</si>
  <si>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</si>
  <si>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</si>
  <si>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</si>
  <si>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</si>
  <si>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</si>
  <si>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</si>
  <si>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</si>
  <si>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</si>
  <si>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</si>
  <si>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</si>
  <si>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</si>
  <si>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</si>
  <si>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</si>
  <si>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</si>
  <si>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</si>
  <si>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</si>
  <si>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</si>
  <si>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</si>
  <si>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</si>
  <si>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</si>
  <si>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</si>
  <si>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</si>
  <si>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</si>
  <si>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</si>
  <si>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</si>
  <si>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</si>
  <si>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</si>
  <si>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</si>
  <si>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</si>
  <si>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</si>
  <si>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</si>
  <si>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</si>
  <si>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</si>
  <si>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</si>
  <si>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</si>
  <si>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</si>
  <si>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</si>
  <si>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</si>
  <si>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</si>
  <si>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</si>
  <si>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</si>
  <si>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</si>
  <si>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</si>
  <si>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</si>
  <si>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</si>
  <si>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</si>
  <si>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</si>
  <si>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</si>
  <si>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</si>
  <si>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</si>
  <si>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</si>
  <si>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</si>
  <si>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</si>
  <si>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</si>
  <si>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</si>
  <si>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</si>
  <si>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</si>
  <si>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</si>
  <si>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</si>
  <si>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</si>
  <si>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</si>
  <si>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</si>
  <si>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</si>
  <si>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</si>
  <si>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</si>
  <si>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</si>
  <si>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</si>
  <si>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</si>
  <si>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</si>
  <si>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</si>
  <si>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</si>
  <si>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</si>
  <si>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</si>
  <si>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</si>
  <si>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</si>
  <si>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</si>
  <si>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</si>
  <si>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</si>
  <si>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</si>
  <si>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</si>
  <si>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</si>
  <si>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</si>
  <si>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</si>
  <si>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</si>
  <si>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</si>
  <si>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</si>
  <si>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</si>
  <si>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</si>
  <si>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</si>
  <si>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</si>
  <si>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</si>
  <si>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</si>
  <si>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</si>
  <si>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</si>
  <si>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</si>
  <si>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</si>
  <si>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</si>
  <si>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</si>
  <si>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</si>
  <si>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</si>
  <si>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</si>
  <si>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</si>
  <si>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</si>
  <si>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</si>
  <si>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</si>
  <si>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</si>
  <si>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</si>
  <si>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</si>
  <si>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</si>
  <si>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</si>
  <si>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</si>
  <si>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</si>
  <si>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</si>
  <si>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</si>
  <si>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</si>
  <si>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</si>
  <si>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</si>
  <si>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</si>
  <si>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</si>
  <si>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</si>
  <si>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</si>
  <si>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</si>
  <si>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</si>
  <si>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</si>
  <si>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</si>
  <si>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</si>
  <si>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</si>
  <si>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</si>
  <si>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</si>
  <si>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</si>
  <si>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</si>
  <si>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</si>
  <si>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</si>
  <si>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</si>
  <si>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</si>
  <si>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</si>
  <si>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</si>
  <si>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</si>
  <si>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</si>
  <si>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</si>
  <si>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</si>
  <si>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</si>
  <si>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</si>
  <si>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</si>
  <si>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</si>
  <si>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</si>
  <si>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</si>
  <si>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</si>
  <si>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</si>
  <si>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</si>
  <si>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</si>
  <si>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</si>
  <si>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</si>
  <si>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</si>
  <si>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</si>
  <si>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</si>
  <si>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</si>
  <si>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</si>
  <si>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</si>
  <si>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</si>
  <si>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</si>
  <si>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</si>
  <si>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</si>
  <si>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</si>
  <si>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</si>
  <si>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</si>
  <si>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</si>
  <si>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</si>
  <si>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</si>
  <si>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</si>
  <si>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</si>
  <si>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</si>
  <si>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</si>
  <si>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</si>
  <si>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</si>
  <si>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</si>
  <si>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</si>
  <si>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</si>
  <si>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</si>
  <si>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</si>
  <si>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</si>
  <si>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</si>
  <si>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</si>
  <si>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</si>
  <si>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</si>
  <si>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</si>
  <si>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</si>
  <si>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</si>
  <si>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</si>
  <si>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</si>
  <si>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</si>
  <si>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</si>
  <si>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</si>
  <si>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</si>
  <si>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</si>
  <si>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</si>
  <si>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</si>
  <si>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</si>
  <si>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</si>
  <si>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</si>
  <si>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</si>
  <si>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</si>
  <si>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</si>
  <si>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</si>
  <si>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</si>
  <si>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</si>
  <si>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</si>
  <si>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</si>
  <si>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</si>
  <si>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</si>
  <si>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</si>
  <si>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</si>
  <si>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</si>
  <si>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</si>
  <si>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</si>
  <si>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</si>
  <si>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</si>
  <si>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</si>
  <si>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</si>
  <si>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</si>
  <si>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</si>
  <si>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</si>
  <si>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</si>
  <si>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</si>
  <si>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</si>
  <si>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</si>
  <si>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</si>
  <si>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</si>
  <si>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</si>
  <si>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</si>
  <si>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</si>
  <si>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</si>
  <si>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</si>
  <si>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</si>
  <si>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</si>
  <si>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</si>
  <si>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</si>
  <si>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</si>
  <si>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</si>
  <si>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</si>
  <si>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</si>
  <si>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</si>
  <si>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</si>
  <si>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</si>
  <si>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</si>
  <si>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</si>
  <si>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</si>
  <si>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</si>
  <si>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</si>
  <si>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</si>
  <si>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</si>
  <si>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</si>
  <si>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</si>
  <si>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</si>
  <si>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</si>
  <si>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</si>
  <si>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</si>
  <si>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</si>
  <si>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</si>
  <si>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</si>
  <si>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</si>
  <si>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</si>
  <si>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</si>
  <si>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</si>
  <si>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</si>
  <si>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</si>
  <si>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</si>
  <si>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</si>
  <si>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</si>
  <si>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</si>
  <si>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</si>
  <si>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</si>
  <si>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</si>
  <si>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</si>
  <si>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</si>
  <si>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</si>
  <si>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</si>
  <si>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</si>
  <si>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</si>
  <si>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</si>
  <si>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</si>
  <si>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</si>
  <si>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</si>
  <si>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</si>
  <si>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</si>
  <si>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</si>
  <si>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</si>
  <si>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</si>
  <si>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</si>
  <si>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</si>
  <si>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</si>
  <si>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</si>
  <si>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</si>
  <si>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</si>
  <si>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</si>
  <si>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</si>
  <si>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</si>
  <si>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</si>
  <si>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</si>
  <si>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</si>
  <si>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</si>
  <si>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</si>
  <si>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</si>
  <si>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</si>
  <si>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</si>
  <si>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</si>
  <si>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</si>
  <si>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</si>
  <si>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</si>
  <si>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</si>
  <si>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</si>
  <si>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</si>
  <si>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</si>
  <si>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</si>
  <si>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</si>
  <si>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</si>
  <si>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</si>
  <si>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</si>
  <si>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</si>
  <si>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</si>
  <si>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</si>
  <si>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</si>
  <si>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</si>
  <si>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</si>
  <si>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</si>
  <si>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</si>
  <si>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</si>
  <si>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</si>
  <si>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</si>
  <si>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</si>
  <si>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</si>
  <si>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</si>
  <si>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</si>
  <si>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</si>
  <si>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</si>
  <si>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</si>
  <si>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</si>
  <si>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</si>
  <si>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</si>
  <si>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</si>
  <si>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</si>
  <si>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</si>
  <si>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</si>
  <si>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</si>
  <si>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</si>
  <si>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</si>
  <si>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</si>
  <si>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</si>
  <si>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</si>
  <si>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</si>
  <si>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</si>
  <si>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</si>
  <si>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</si>
  <si>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</si>
  <si>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</si>
  <si>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</si>
  <si>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</si>
  <si>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</si>
  <si>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</si>
  <si>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</si>
  <si>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</si>
  <si>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</si>
  <si>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</si>
  <si>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</si>
  <si>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</si>
  <si>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</si>
  <si>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</si>
  <si>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</si>
  <si>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</si>
  <si>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</si>
  <si>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</si>
  <si>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</si>
  <si>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</si>
  <si>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</si>
  <si>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</si>
  <si>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</si>
  <si>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</si>
  <si>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</si>
  <si>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</si>
  <si>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</si>
  <si>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</si>
  <si>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</si>
  <si>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</si>
  <si>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</si>
  <si>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</si>
  <si>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</si>
  <si>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</si>
  <si>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</si>
  <si>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</si>
  <si>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</si>
  <si>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</si>
  <si>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</si>
  <si>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</si>
  <si>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</si>
  <si>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</si>
  <si>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</si>
  <si>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</si>
  <si>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</si>
  <si>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</si>
  <si>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</si>
  <si>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</si>
  <si>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</si>
  <si>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</si>
  <si>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</si>
  <si>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</si>
  <si>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</si>
  <si>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</si>
  <si>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</si>
  <si>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</si>
  <si>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</si>
  <si>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</si>
  <si>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</si>
  <si>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</si>
  <si>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</si>
  <si>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</si>
  <si>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</si>
  <si>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</si>
  <si>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</si>
  <si>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</si>
  <si>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</si>
  <si>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</si>
  <si>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</si>
  <si>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</si>
  <si>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</si>
  <si>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</si>
  <si>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</si>
  <si>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</si>
  <si>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</si>
  <si>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</si>
  <si>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</si>
  <si>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</si>
  <si>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</si>
  <si>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</si>
  <si>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</si>
  <si>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</si>
  <si>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</si>
  <si>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</si>
  <si>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</si>
  <si>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</si>
  <si>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</si>
  <si>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</si>
  <si>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</si>
  <si>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</si>
  <si>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</si>
  <si>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</si>
  <si>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</si>
  <si>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</si>
  <si>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</si>
  <si>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</si>
  <si>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</si>
  <si>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</si>
  <si>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</si>
  <si>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</si>
  <si>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</si>
  <si>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</si>
  <si>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</si>
  <si>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</si>
  <si>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</si>
  <si>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</si>
  <si>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</si>
  <si>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</si>
  <si>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</si>
  <si>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</si>
  <si>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</si>
  <si>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</si>
  <si>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</si>
  <si>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</si>
  <si>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</si>
  <si>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</si>
  <si>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</si>
  <si>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</si>
  <si>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</si>
  <si>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</si>
  <si>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</si>
  <si>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</si>
  <si>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</si>
  <si>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</si>
  <si>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</si>
  <si>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</si>
  <si>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</si>
  <si>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</si>
  <si>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</si>
  <si>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</si>
  <si>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</si>
  <si>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</si>
  <si>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</si>
  <si>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</si>
  <si>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</si>
  <si>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</si>
  <si>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</si>
  <si>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</si>
  <si>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</si>
  <si>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</si>
  <si>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</si>
  <si>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</si>
  <si>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</si>
  <si>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</si>
  <si>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</si>
  <si>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</si>
  <si>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</si>
  <si>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</si>
  <si>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</si>
  <si>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</si>
  <si>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</si>
  <si>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</si>
  <si>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</si>
  <si>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</si>
  <si>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</si>
  <si>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</si>
  <si>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</si>
  <si>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</si>
  <si>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</si>
  <si>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</si>
  <si>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</si>
  <si>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</si>
  <si>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</si>
  <si>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</si>
  <si>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</si>
  <si>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</si>
  <si>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</si>
  <si>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</si>
  <si>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</si>
  <si>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</si>
  <si>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</si>
  <si>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</si>
  <si>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</si>
  <si>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</si>
  <si>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</si>
  <si>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</si>
  <si>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</si>
  <si>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</si>
  <si>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</si>
  <si>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</si>
  <si>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</si>
  <si>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</si>
  <si>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</si>
  <si>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</si>
  <si>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</si>
  <si>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</si>
  <si>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</si>
  <si>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</si>
  <si>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</si>
  <si>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</si>
  <si>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</si>
  <si>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</si>
  <si>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</si>
  <si>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</si>
  <si>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</si>
  <si>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</si>
  <si>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</si>
  <si>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</si>
  <si>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</si>
  <si>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</si>
  <si>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</si>
  <si>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</si>
  <si>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</si>
  <si>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</si>
  <si>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</si>
  <si>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</si>
  <si>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</si>
  <si>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</si>
  <si>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</si>
  <si>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</si>
  <si>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</si>
  <si>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</si>
  <si>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</si>
  <si>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</si>
  <si>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</si>
  <si>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</si>
  <si>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</si>
  <si>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</si>
  <si>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</si>
  <si>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</si>
  <si>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</si>
  <si>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</si>
  <si>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</si>
  <si>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</si>
  <si>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</si>
  <si>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</si>
  <si>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</si>
  <si>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</si>
  <si>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</si>
  <si>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</si>
  <si>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</si>
  <si>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</si>
  <si>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</si>
  <si>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</si>
  <si>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</si>
  <si>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</si>
  <si>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</si>
  <si>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</si>
  <si>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</si>
  <si>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</si>
  <si>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</si>
  <si>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</si>
  <si>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</si>
  <si>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</si>
  <si>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</si>
  <si>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</si>
  <si>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</si>
  <si>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</si>
  <si>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</si>
  <si>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</si>
  <si>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</si>
  <si>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</si>
  <si>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</si>
  <si>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</si>
  <si>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</si>
  <si>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</si>
  <si>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</si>
  <si>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</si>
  <si>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</si>
  <si>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</si>
  <si>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</si>
  <si>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</si>
  <si>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</si>
  <si>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</si>
  <si>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</si>
  <si>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</si>
  <si>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</si>
  <si>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</si>
  <si>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</si>
  <si>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</si>
  <si>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</si>
  <si>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</si>
  <si>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</si>
  <si>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</si>
  <si>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</si>
  <si>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</si>
  <si>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</si>
  <si>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</si>
  <si>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</si>
  <si>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</si>
  <si>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</si>
  <si>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</si>
  <si>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</si>
  <si>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</si>
  <si>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</si>
  <si>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</si>
  <si>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</si>
  <si>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</si>
  <si>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</si>
  <si>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</si>
  <si>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</si>
  <si>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</si>
  <si>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</si>
  <si>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</si>
  <si>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</si>
  <si>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</si>
  <si>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</si>
  <si>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</si>
  <si>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</si>
  <si>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</si>
  <si>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</si>
  <si>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</si>
  <si>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</si>
  <si>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</si>
  <si>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</si>
  <si>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</si>
  <si>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</si>
  <si>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</si>
  <si>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</si>
  <si>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</si>
  <si>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</si>
  <si>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</si>
  <si>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</si>
  <si>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</si>
  <si>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</si>
  <si>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</si>
  <si>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</si>
  <si>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</si>
  <si>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</si>
  <si>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</si>
  <si>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</si>
  <si>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</si>
  <si>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</si>
  <si>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</si>
  <si>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</si>
  <si>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</si>
  <si>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</si>
  <si>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</si>
  <si>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</si>
  <si>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</si>
  <si>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</si>
  <si>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</si>
  <si>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</si>
  <si>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</si>
  <si>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</si>
  <si>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</si>
  <si>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</si>
  <si>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</si>
  <si>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</si>
  <si>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</si>
  <si>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</si>
  <si>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</si>
  <si>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</si>
  <si>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</si>
  <si>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</si>
  <si>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</si>
  <si>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</si>
  <si>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</si>
  <si>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</si>
  <si>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</si>
  <si>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</si>
  <si>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</si>
  <si>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</si>
  <si>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</si>
  <si>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</si>
  <si>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</si>
  <si>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</si>
  <si>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</si>
  <si>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</si>
  <si>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</si>
  <si>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</si>
  <si>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</si>
  <si>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</si>
  <si>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</si>
  <si>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</si>
  <si>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</si>
  <si>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</si>
  <si>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</si>
  <si>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</si>
  <si>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</si>
  <si>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</si>
  <si>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</si>
  <si>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</si>
  <si>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</si>
  <si>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</si>
  <si>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</si>
  <si>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</si>
  <si>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</si>
  <si>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</si>
  <si>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</si>
  <si>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</si>
  <si>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</si>
  <si>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</si>
  <si>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</si>
  <si>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</si>
  <si>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</si>
  <si>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</si>
  <si>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</si>
  <si>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</si>
  <si>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</si>
  <si>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</si>
  <si>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</si>
  <si>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</si>
  <si>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</si>
  <si>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</si>
  <si>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</si>
  <si>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</si>
  <si>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</si>
  <si>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</si>
  <si>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</si>
  <si>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</si>
  <si>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</si>
  <si>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</si>
  <si>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</si>
  <si>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</si>
  <si>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</si>
  <si>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</si>
  <si>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</si>
  <si>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</si>
  <si>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</si>
  <si>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</si>
  <si>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</si>
  <si>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</si>
  <si>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</si>
  <si>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</si>
  <si>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</si>
  <si>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</si>
  <si>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</si>
  <si>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</si>
  <si>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</si>
  <si>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</si>
  <si>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</si>
  <si>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</si>
  <si>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</si>
  <si>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</si>
  <si>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</si>
  <si>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</si>
  <si>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</si>
  <si>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</si>
  <si>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</si>
  <si>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</si>
  <si>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</si>
  <si>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</si>
  <si>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</si>
  <si>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</si>
  <si>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</si>
  <si>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</si>
  <si>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</si>
  <si>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</si>
  <si>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</si>
  <si>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</si>
  <si>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</si>
  <si>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</si>
  <si>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</si>
  <si>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</si>
  <si>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</si>
  <si>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</si>
  <si>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</si>
  <si>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</si>
  <si>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</si>
  <si>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</si>
  <si>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</si>
  <si>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</si>
  <si>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</si>
  <si>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</si>
  <si>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</si>
  <si>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</si>
  <si>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</si>
  <si>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</si>
  <si>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</si>
  <si>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</si>
  <si>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</si>
  <si>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</si>
  <si>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</si>
  <si>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</si>
  <si>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</si>
  <si>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</si>
  <si>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</si>
  <si>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</si>
  <si>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</si>
  <si>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</si>
  <si>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</si>
  <si>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</si>
  <si>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</si>
  <si>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</si>
  <si>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</si>
  <si>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</si>
  <si>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</si>
  <si>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</si>
  <si>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</si>
  <si>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</si>
  <si>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</si>
  <si>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</si>
  <si>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</si>
  <si>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</si>
  <si>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</si>
  <si>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</si>
  <si>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</si>
  <si>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</si>
  <si>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</si>
  <si>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</si>
  <si>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</si>
  <si>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</si>
  <si>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</si>
  <si>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</si>
  <si>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</si>
  <si>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</si>
  <si>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</si>
  <si>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</si>
  <si>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</si>
  <si>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</si>
  <si>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</si>
  <si>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</si>
  <si>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</si>
  <si>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</si>
  <si>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</si>
  <si>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</si>
  <si>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</si>
  <si>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</si>
  <si>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</si>
  <si>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</si>
  <si>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</si>
  <si>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</si>
  <si>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</si>
  <si>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</si>
  <si>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</si>
  <si>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</si>
  <si>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</si>
  <si>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</si>
  <si>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</si>
  <si>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</si>
  <si>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</si>
  <si>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</si>
  <si>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</si>
  <si>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</si>
  <si>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</si>
  <si>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</si>
  <si>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</si>
  <si>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</si>
  <si>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</si>
  <si>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</si>
  <si>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</si>
  <si>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</si>
  <si>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</si>
  <si>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</si>
  <si>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</si>
  <si>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</si>
  <si>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</si>
  <si>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</si>
  <si>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</si>
  <si>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</si>
  <si>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</si>
  <si>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</si>
  <si>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</si>
  <si>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</si>
  <si>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</si>
  <si>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</si>
  <si>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</si>
  <si>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</si>
  <si>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</si>
  <si>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</si>
  <si>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</si>
  <si>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</si>
  <si>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</si>
  <si>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</si>
  <si>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</si>
  <si>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</si>
  <si>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</si>
  <si>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</si>
  <si>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</si>
  <si>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</si>
  <si>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</si>
  <si>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</si>
  <si>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</si>
  <si>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</si>
  <si>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</si>
  <si>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</si>
  <si>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</si>
  <si>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</si>
  <si>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</si>
  <si>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</si>
  <si>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</si>
  <si>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</si>
  <si>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</si>
  <si>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</si>
  <si>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</si>
  <si>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</si>
  <si>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</si>
  <si>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</si>
  <si>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</si>
  <si>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</si>
  <si>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</si>
  <si>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</si>
  <si>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</si>
  <si>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</si>
  <si>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</si>
  <si>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</si>
  <si>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</si>
  <si>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</si>
  <si>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</si>
  <si>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</si>
  <si>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</si>
  <si>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</si>
  <si>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</si>
  <si>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</si>
  <si>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</si>
  <si>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</si>
  <si>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</si>
  <si>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</si>
  <si>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</si>
  <si>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</si>
  <si>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</si>
  <si>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</si>
  <si>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</si>
  <si>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</si>
  <si>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</si>
  <si>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</si>
  <si>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</si>
  <si>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</si>
  <si>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</si>
  <si>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</si>
  <si>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</si>
  <si>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</si>
  <si>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</si>
  <si>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</si>
  <si>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</si>
  <si>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</si>
  <si>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</si>
  <si>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</si>
  <si>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</si>
  <si>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</si>
  <si>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</si>
  <si>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</si>
  <si>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</si>
  <si>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</si>
  <si>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</si>
  <si>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</si>
  <si>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</si>
  <si>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</si>
  <si>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</si>
  <si>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</si>
  <si>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</si>
  <si>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</si>
  <si>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</si>
  <si>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</si>
  <si>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</si>
  <si>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</si>
  <si>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</si>
  <si>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</si>
  <si>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</si>
  <si>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</si>
  <si>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</si>
  <si>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</si>
  <si>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</si>
  <si>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</si>
  <si>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</si>
  <si>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</si>
  <si>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</si>
  <si>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</si>
  <si>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</si>
  <si>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</si>
  <si>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</si>
  <si>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</si>
  <si>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</si>
  <si>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</si>
  <si>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</si>
  <si>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</si>
  <si>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</si>
  <si>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</si>
  <si>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</si>
  <si>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</si>
  <si>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</si>
  <si>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</si>
  <si>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</si>
  <si>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</si>
  <si>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</si>
  <si>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</si>
  <si>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</si>
  <si>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</si>
  <si>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</si>
  <si>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</si>
  <si>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</si>
  <si>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</si>
  <si>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</si>
  <si>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</si>
  <si>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</si>
  <si>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</si>
  <si>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</si>
  <si>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</si>
  <si>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</si>
  <si>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</si>
  <si>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</si>
  <si>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</si>
  <si>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</si>
  <si>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</si>
  <si>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</si>
  <si>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</si>
  <si>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</si>
  <si>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</si>
  <si>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</si>
  <si>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</si>
  <si>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</si>
  <si>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</si>
  <si>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</si>
  <si>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</si>
  <si>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</si>
  <si>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</si>
  <si>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</si>
  <si>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</si>
  <si>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</si>
  <si>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</si>
  <si>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</si>
  <si>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</si>
  <si>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</si>
  <si>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</si>
  <si>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</si>
  <si>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</si>
  <si>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</si>
  <si>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</si>
  <si>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</si>
  <si>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</si>
  <si>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</si>
  <si>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</si>
  <si>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</si>
  <si>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</si>
  <si>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</si>
  <si>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</si>
  <si>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</si>
  <si>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</si>
  <si>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</si>
  <si>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</si>
  <si>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</si>
  <si>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</si>
  <si>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</si>
  <si>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</si>
  <si>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</si>
  <si>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</si>
  <si>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</si>
  <si>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</si>
  <si>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</si>
  <si>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</si>
  <si>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</si>
  <si>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</si>
  <si>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</si>
  <si>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</si>
  <si>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</si>
  <si>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</si>
  <si>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</si>
  <si>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</si>
  <si>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</si>
  <si>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</si>
  <si>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</si>
  <si>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</si>
  <si>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</si>
  <si>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</si>
  <si>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</si>
  <si>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</si>
  <si>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</si>
  <si>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</si>
  <si>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</si>
  <si>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</si>
  <si>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</si>
  <si>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</si>
  <si>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</si>
  <si>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</si>
  <si>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</si>
  <si>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</si>
  <si>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</si>
  <si>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</si>
  <si>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</si>
  <si>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</si>
  <si>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</si>
  <si>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</si>
  <si>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</si>
  <si>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</si>
  <si>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</si>
  <si>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</si>
  <si>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</si>
  <si>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</si>
  <si>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</si>
  <si>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</si>
  <si>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</si>
  <si>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</si>
  <si>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</si>
  <si>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</si>
  <si>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</si>
  <si>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</si>
  <si>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</si>
  <si>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</si>
  <si>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</si>
  <si>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</si>
  <si>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</si>
  <si>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</si>
  <si>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</si>
  <si>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</si>
  <si>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</si>
  <si>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</si>
  <si>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</si>
  <si>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</si>
  <si>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</si>
  <si>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</si>
  <si>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</si>
  <si>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</si>
  <si>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</si>
  <si>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</si>
  <si>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</si>
  <si>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</si>
  <si>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</si>
  <si>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</si>
  <si>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</si>
  <si>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</si>
  <si>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</si>
  <si>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</si>
  <si>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</si>
  <si>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</si>
  <si>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</si>
  <si>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</si>
  <si>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</si>
  <si>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</si>
  <si>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</si>
  <si>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</si>
  <si>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</si>
  <si>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</si>
  <si>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</si>
  <si>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</si>
  <si>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</si>
  <si>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</si>
  <si>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</si>
  <si>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</si>
  <si>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</si>
  <si>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</si>
  <si>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</si>
  <si>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</si>
  <si>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</si>
  <si>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</si>
  <si>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</si>
  <si>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</si>
  <si>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</si>
  <si>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</si>
  <si>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</si>
  <si>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</si>
  <si>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</si>
  <si>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</si>
  <si>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</si>
  <si>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</si>
  <si>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</si>
  <si>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</si>
  <si>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</si>
  <si>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</si>
  <si>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</si>
  <si>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</si>
  <si>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</si>
  <si>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</si>
  <si>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</si>
  <si>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</si>
  <si>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</si>
  <si>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</si>
  <si>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</si>
  <si>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</si>
  <si>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</si>
  <si>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</si>
  <si>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</si>
  <si>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</si>
  <si>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</si>
  <si>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</si>
  <si>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</si>
  <si>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</si>
  <si>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</si>
  <si>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</si>
  <si>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</si>
  <si>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</si>
  <si>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</si>
  <si>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</si>
  <si>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</si>
  <si>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</si>
  <si>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</si>
  <si>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</si>
  <si>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</si>
  <si>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</si>
  <si>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</si>
  <si>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</si>
  <si>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</si>
  <si>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</si>
  <si>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</si>
  <si>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</si>
  <si>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</si>
  <si>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</si>
  <si>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</si>
  <si>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</si>
  <si>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</si>
  <si>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</si>
  <si>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</si>
  <si>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</si>
  <si>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</si>
  <si>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</si>
  <si>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</si>
  <si>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</si>
  <si>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</si>
  <si>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</si>
  <si>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</si>
  <si>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</si>
  <si>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</si>
  <si>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</si>
  <si>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</si>
  <si>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</si>
  <si>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</si>
  <si>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</si>
  <si>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</si>
  <si>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</si>
  <si>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</si>
  <si>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</si>
  <si>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</si>
  <si>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</si>
  <si>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</si>
  <si>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</si>
  <si>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</si>
  <si>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</si>
  <si>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</si>
  <si>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</si>
  <si>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</si>
  <si>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</si>
  <si>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</si>
  <si>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</si>
  <si>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</si>
  <si>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</si>
  <si>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</si>
  <si>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</si>
  <si>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</si>
  <si>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</si>
  <si>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</si>
  <si>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</si>
  <si>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</si>
  <si>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</si>
  <si>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</si>
  <si>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</si>
  <si>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</si>
  <si>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</si>
  <si>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</si>
  <si>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</si>
  <si>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</si>
  <si>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</si>
  <si>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</si>
  <si>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</si>
  <si>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</si>
  <si>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</si>
  <si>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</si>
  <si>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</si>
  <si>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</si>
  <si>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</si>
  <si>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</si>
  <si>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</si>
  <si>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</si>
  <si>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</si>
  <si>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</si>
  <si>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</si>
  <si>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</si>
  <si>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</si>
  <si>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</si>
  <si>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</si>
  <si>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</si>
  <si>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</si>
  <si>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</si>
  <si>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</si>
  <si>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</si>
  <si>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</si>
  <si>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</si>
  <si>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</si>
  <si>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</si>
  <si>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</si>
  <si>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</si>
  <si>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</si>
  <si>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</si>
  <si>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</si>
  <si>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</si>
  <si>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</si>
  <si>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</si>
  <si>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</si>
  <si>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</si>
  <si>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</si>
  <si>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</si>
  <si>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</si>
  <si>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</si>
  <si>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</si>
  <si>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</si>
  <si>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</si>
  <si>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</si>
  <si>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</si>
  <si>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</si>
  <si>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</si>
  <si>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</si>
  <si>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</si>
  <si>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</si>
  <si>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</si>
  <si>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</si>
  <si>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</si>
  <si>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</si>
  <si>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</si>
  <si>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</si>
  <si>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</si>
  <si>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</si>
  <si>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</si>
  <si>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</si>
  <si>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</si>
  <si>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</si>
  <si>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</si>
  <si>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</si>
  <si>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</si>
  <si>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</si>
  <si>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</si>
  <si>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</si>
  <si>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</si>
  <si>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</si>
  <si>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</si>
  <si>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</si>
  <si>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</si>
  <si>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</si>
  <si>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</si>
  <si>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</si>
  <si>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</si>
  <si>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</si>
  <si>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</si>
  <si>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</si>
  <si>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</si>
  <si>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</si>
  <si>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</si>
  <si>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</si>
  <si>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</si>
  <si>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</si>
  <si>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</si>
  <si>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</si>
  <si>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</si>
  <si>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</si>
  <si>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</si>
  <si>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</si>
  <si>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</si>
  <si>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</si>
  <si>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</si>
  <si>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</si>
  <si>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</si>
  <si>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</si>
  <si>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</si>
  <si>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</si>
  <si>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</si>
  <si>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</si>
  <si>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</si>
  <si>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</si>
  <si>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</si>
  <si>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</si>
  <si>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</si>
  <si>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</si>
  <si>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</si>
  <si>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</si>
  <si>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</si>
  <si>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</si>
  <si>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</si>
  <si>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</si>
  <si>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</si>
  <si>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</si>
  <si>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</si>
  <si>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</si>
  <si>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</si>
  <si>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</si>
  <si>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</si>
  <si>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</si>
  <si>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</si>
  <si>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</si>
  <si>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</si>
  <si>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</si>
  <si>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</si>
  <si>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</si>
  <si>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</si>
  <si>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</si>
  <si>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</si>
  <si>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</si>
  <si>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</si>
  <si>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</si>
  <si>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</si>
  <si>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</si>
  <si>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</si>
  <si>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</si>
  <si>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</si>
  <si>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</si>
  <si>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</si>
  <si>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</si>
  <si>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</si>
  <si>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</si>
  <si>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</si>
  <si>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</si>
  <si>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</si>
  <si>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</si>
  <si>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</si>
  <si>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</si>
  <si>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</si>
  <si>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</si>
  <si>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</si>
  <si>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</si>
  <si>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</si>
  <si>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</si>
  <si>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</si>
  <si>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</si>
  <si>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</si>
  <si>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</si>
  <si>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</si>
  <si>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</si>
  <si>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</si>
  <si>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</si>
  <si>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</si>
  <si>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</si>
  <si>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</si>
  <si>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</si>
  <si>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</si>
  <si>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</si>
  <si>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</si>
  <si>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</si>
  <si>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</si>
  <si>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</si>
  <si>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</si>
  <si>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</si>
  <si>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</si>
  <si>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</si>
  <si>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</si>
  <si>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</si>
  <si>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</si>
  <si>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</si>
  <si>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</si>
  <si>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</si>
  <si>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</si>
  <si>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</si>
  <si>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</si>
  <si>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</si>
  <si>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</si>
  <si>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</si>
  <si>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</si>
  <si>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</si>
  <si>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</si>
  <si>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</si>
  <si>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</si>
  <si>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</si>
  <si>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</si>
  <si>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</si>
  <si>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</si>
  <si>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</si>
  <si>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</si>
  <si>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</si>
  <si>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</si>
  <si>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</si>
  <si>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</si>
  <si>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</si>
  <si>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</si>
  <si>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</si>
  <si>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</si>
  <si>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</si>
  <si>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</si>
  <si>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</si>
  <si>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</si>
  <si>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</si>
  <si>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</si>
  <si>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</si>
  <si>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</si>
  <si>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</si>
  <si>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</si>
  <si>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</si>
  <si>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</si>
  <si>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</si>
  <si>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</si>
  <si>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</si>
  <si>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</si>
  <si>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</si>
  <si>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</si>
  <si>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</si>
  <si>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</si>
  <si>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</si>
  <si>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</si>
  <si>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</si>
  <si>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</si>
  <si>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</si>
  <si>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</si>
  <si>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</si>
  <si>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</si>
  <si>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</si>
  <si>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</si>
  <si>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</si>
  <si>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</si>
  <si>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</si>
  <si>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</si>
  <si>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</si>
  <si>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</si>
  <si>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</si>
  <si>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</si>
  <si>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</si>
  <si>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</si>
  <si>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</si>
  <si>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</si>
  <si>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</si>
  <si>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</si>
  <si>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</si>
  <si>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</si>
  <si>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</si>
  <si>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</si>
  <si>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</si>
  <si>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</si>
  <si>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</si>
  <si>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</si>
  <si>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</si>
  <si>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</si>
  <si>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</si>
  <si>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</si>
  <si>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</si>
  <si>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</si>
  <si>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</si>
  <si>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</si>
  <si>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</si>
  <si>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</si>
  <si>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</si>
  <si>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</si>
  <si>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</si>
  <si>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</si>
  <si>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</si>
  <si>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</si>
  <si>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</si>
  <si>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</si>
  <si>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</si>
  <si>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</si>
  <si>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</si>
  <si>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</si>
  <si>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</si>
  <si>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</si>
  <si>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</si>
  <si>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</si>
  <si>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</si>
  <si>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</si>
  <si>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</si>
  <si>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</si>
  <si>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</si>
  <si>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</si>
  <si>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</si>
  <si>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</si>
  <si>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</si>
  <si>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</si>
  <si>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</si>
  <si>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</si>
  <si>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</si>
  <si>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</si>
  <si>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</si>
  <si>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</si>
  <si>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</si>
  <si>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</si>
  <si>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</si>
  <si>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</si>
  <si>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</si>
  <si>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</si>
  <si>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</si>
  <si>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</si>
  <si>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</si>
  <si>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</si>
  <si>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</si>
  <si>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</si>
  <si>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</si>
  <si>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</si>
  <si>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</si>
  <si>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</si>
  <si>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</si>
  <si>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</si>
  <si>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</si>
  <si>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</si>
  <si>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</si>
  <si>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</si>
  <si>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</si>
  <si>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</si>
  <si>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</si>
  <si>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</si>
  <si>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</si>
  <si>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</si>
  <si>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</si>
  <si>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</si>
  <si>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</si>
  <si>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</si>
  <si>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</si>
  <si>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</si>
  <si>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</si>
  <si>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</si>
  <si>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</si>
  <si>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</si>
  <si>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</si>
  <si>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</si>
  <si>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</si>
  <si>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</si>
  <si>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</si>
  <si>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</si>
  <si>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</si>
  <si>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</si>
  <si>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</si>
  <si>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</si>
  <si>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</si>
  <si>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</si>
  <si>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</si>
  <si>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</si>
  <si>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</si>
  <si>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</si>
  <si>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</si>
  <si>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</si>
  <si>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</si>
  <si>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</si>
  <si>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</si>
  <si>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</si>
  <si>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</si>
  <si>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</si>
  <si>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</si>
  <si>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</si>
  <si>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</si>
  <si>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</si>
  <si>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</si>
  <si>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</si>
  <si>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</si>
  <si>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</si>
  <si>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</si>
  <si>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</si>
  <si>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</si>
  <si>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</si>
  <si>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</si>
  <si>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</si>
  <si>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</si>
  <si>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</si>
  <si>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</si>
  <si>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</si>
  <si>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</si>
  <si>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</si>
  <si>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</si>
  <si>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</si>
  <si>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</si>
  <si>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</si>
  <si>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</si>
  <si>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</si>
  <si>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</si>
  <si>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</si>
  <si>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</si>
  <si>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</si>
  <si>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</si>
  <si>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</si>
  <si>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</si>
  <si>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</si>
  <si>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</si>
  <si>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</si>
  <si>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</si>
  <si>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</si>
  <si>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</si>
  <si>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</si>
  <si>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</si>
  <si>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</si>
  <si>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</si>
  <si>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</si>
  <si>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</si>
  <si>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</si>
  <si>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</si>
  <si>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</si>
  <si>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</si>
  <si>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</si>
  <si>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</si>
  <si>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</si>
  <si>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</si>
  <si>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</si>
  <si>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</si>
  <si>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</si>
  <si>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</si>
  <si>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</si>
  <si>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</si>
  <si>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</si>
  <si>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</si>
  <si>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</si>
  <si>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</si>
  <si>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</si>
  <si>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</si>
  <si>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</si>
  <si>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</si>
  <si>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</si>
  <si>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</si>
  <si>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</si>
  <si>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</si>
  <si>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</si>
  <si>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</si>
  <si>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</si>
  <si>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</si>
  <si>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</si>
  <si>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</si>
  <si>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</si>
  <si>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</si>
  <si>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</si>
  <si>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</si>
  <si>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</si>
  <si>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</si>
  <si>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</si>
  <si>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</si>
  <si>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</si>
  <si>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</si>
  <si>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</si>
  <si>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</si>
  <si>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</si>
  <si>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</si>
  <si>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</si>
  <si>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</si>
  <si>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</si>
  <si>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</si>
  <si>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</si>
  <si>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</si>
  <si>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</si>
  <si>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</si>
  <si>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</si>
  <si>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</si>
  <si>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</si>
  <si>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</si>
  <si>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</si>
  <si>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</si>
  <si>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</si>
  <si>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</si>
  <si>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</si>
  <si>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</si>
  <si>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</si>
  <si>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</si>
  <si>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</si>
  <si>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</si>
  <si>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</si>
  <si>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</si>
  <si>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</si>
  <si>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</si>
  <si>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</si>
  <si>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</si>
  <si>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</si>
  <si>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</si>
  <si>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</si>
  <si>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</si>
  <si>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</si>
  <si>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</si>
  <si>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</si>
  <si>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</si>
  <si>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</si>
  <si>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</si>
  <si>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</si>
  <si>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</si>
  <si>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</si>
  <si>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</si>
  <si>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</si>
  <si>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</si>
  <si>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</si>
  <si>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</si>
  <si>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</si>
  <si>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</si>
  <si>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</si>
  <si>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</si>
  <si>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</si>
  <si>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</si>
  <si>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</si>
  <si>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</si>
  <si>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</si>
  <si>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</si>
  <si>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</si>
  <si>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</si>
  <si>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</si>
  <si>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</si>
  <si>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</si>
  <si>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</si>
  <si>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</si>
  <si>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</si>
  <si>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</si>
  <si>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</si>
  <si>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</si>
  <si>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</si>
  <si>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</si>
  <si>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</si>
  <si>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</si>
  <si>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</si>
  <si>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</si>
  <si>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</si>
  <si>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</si>
  <si>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</si>
  <si>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</si>
  <si>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</si>
  <si>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</si>
  <si>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</si>
  <si>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</si>
  <si>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</si>
  <si>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</si>
  <si>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</si>
  <si>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</si>
  <si>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</si>
  <si>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</si>
  <si>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</si>
  <si>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</si>
  <si>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</si>
  <si>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</si>
  <si>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</si>
  <si>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</si>
  <si>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</si>
  <si>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</si>
  <si>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</si>
  <si>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</si>
  <si>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</si>
  <si>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</si>
  <si>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</si>
  <si>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</si>
  <si>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</si>
  <si>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</si>
  <si>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</si>
  <si>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</si>
  <si>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</si>
  <si>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</si>
  <si>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</si>
  <si>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</si>
  <si>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</si>
  <si>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</si>
  <si>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</si>
  <si>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</si>
  <si>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</si>
  <si>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</si>
  <si>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</si>
  <si>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</si>
  <si>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</si>
  <si>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</si>
  <si>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</si>
  <si>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</si>
  <si>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</si>
  <si>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</si>
  <si>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</si>
  <si>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</si>
  <si>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</si>
  <si>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</si>
  <si>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</si>
  <si>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</si>
  <si>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</si>
  <si>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</si>
  <si>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</si>
  <si>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</si>
  <si>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</si>
  <si>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</si>
  <si>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</si>
  <si>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</si>
  <si>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</si>
  <si>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</si>
  <si>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</si>
  <si>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</si>
  <si>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</si>
  <si>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</si>
  <si>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</si>
  <si>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</si>
  <si>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</si>
  <si>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</si>
  <si>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</si>
  <si>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</si>
  <si>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</si>
  <si>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</si>
  <si>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</si>
  <si>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</si>
  <si>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</si>
  <si>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</si>
  <si>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</si>
  <si>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</si>
  <si>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</si>
  <si>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</si>
  <si>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</si>
  <si>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</si>
  <si>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</si>
  <si>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</si>
  <si>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</si>
  <si>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</si>
  <si>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</si>
  <si>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</si>
  <si>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</si>
  <si>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</si>
  <si>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</si>
  <si>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</si>
  <si>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</si>
  <si>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</si>
  <si>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</si>
  <si>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</si>
  <si>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</si>
  <si>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</si>
  <si>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</si>
  <si>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</si>
  <si>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</si>
  <si>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</si>
  <si>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</si>
  <si>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</si>
  <si>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</si>
  <si>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</si>
  <si>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</si>
  <si>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</si>
  <si>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</si>
  <si>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</si>
  <si>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</si>
  <si>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</si>
  <si>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</si>
  <si>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</si>
  <si>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</si>
  <si>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</si>
  <si>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</si>
  <si>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</si>
  <si>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</si>
  <si>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</si>
  <si>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</si>
  <si>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</si>
  <si>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</si>
  <si>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</si>
  <si>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</si>
  <si>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</si>
  <si>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</si>
  <si>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</si>
  <si>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</si>
  <si>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</si>
  <si>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</si>
  <si>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</si>
  <si>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</si>
  <si>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</si>
  <si>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</si>
  <si>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</si>
  <si>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</si>
  <si>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</si>
  <si>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</si>
  <si>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</si>
  <si>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</si>
  <si>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</si>
  <si>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</si>
  <si>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</si>
  <si>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</si>
  <si>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</si>
  <si>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</si>
  <si>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</si>
  <si>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</si>
  <si>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</si>
  <si>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</si>
  <si>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</si>
  <si>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</si>
  <si>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</si>
  <si>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</si>
  <si>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</si>
  <si>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</si>
  <si>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</si>
  <si>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</si>
  <si>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</si>
  <si>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</si>
  <si>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</si>
  <si>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</si>
  <si>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</si>
  <si>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</si>
  <si>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</si>
  <si>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</si>
  <si>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</si>
  <si>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</si>
  <si>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</si>
  <si>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</si>
  <si>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</si>
  <si>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</si>
  <si>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</si>
  <si>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</si>
  <si>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</si>
  <si>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</si>
  <si>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</si>
  <si>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</si>
  <si>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</si>
  <si>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</si>
  <si>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</si>
  <si>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</si>
  <si>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</si>
  <si>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</si>
  <si>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</si>
  <si>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</si>
  <si>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</si>
  <si>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</si>
  <si>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</si>
  <si>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</si>
  <si>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</si>
  <si>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</si>
  <si>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</si>
  <si>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</si>
  <si>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</si>
  <si>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</si>
  <si>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</si>
  <si>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</si>
  <si>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</si>
  <si>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</si>
  <si>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</si>
  <si>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</si>
  <si>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</si>
  <si>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</si>
  <si>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</si>
  <si>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</si>
  <si>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</si>
  <si>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</si>
  <si>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</si>
  <si>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</si>
  <si>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</si>
  <si>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</si>
  <si>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</si>
  <si>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</si>
  <si>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</si>
  <si>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</si>
  <si>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</si>
  <si>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</si>
  <si>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</si>
  <si>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</si>
  <si>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</si>
  <si>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</si>
  <si>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</si>
  <si>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</si>
  <si>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</si>
  <si>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</si>
  <si>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</si>
  <si>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</si>
  <si>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</si>
  <si>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</si>
  <si>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</si>
  <si>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</si>
  <si>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</si>
  <si>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</si>
  <si>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</si>
  <si>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</si>
  <si>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</si>
  <si>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</si>
  <si>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</si>
  <si>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</si>
  <si>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</si>
  <si>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</si>
  <si>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</si>
  <si>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</si>
  <si>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</si>
  <si>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</si>
  <si>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</si>
  <si>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</si>
  <si>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</si>
  <si>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</si>
  <si>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</si>
  <si>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</si>
  <si>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</si>
  <si>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</si>
  <si>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</si>
  <si>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</si>
  <si>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</si>
  <si>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</si>
  <si>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</si>
  <si>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</si>
  <si>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</si>
  <si>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</si>
  <si>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</si>
  <si>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</si>
  <si>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</si>
  <si>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</si>
  <si>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</si>
  <si>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</si>
  <si>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</si>
  <si>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</si>
  <si>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</si>
  <si>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</si>
  <si>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</si>
  <si>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</si>
  <si>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</si>
  <si>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</si>
  <si>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</si>
  <si>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</si>
  <si>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</si>
  <si>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</si>
  <si>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</si>
  <si>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</si>
  <si>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</si>
  <si>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</si>
  <si>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</si>
  <si>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</si>
  <si>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</si>
  <si>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</si>
  <si>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</si>
  <si>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</si>
  <si>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</si>
  <si>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</si>
  <si>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</si>
  <si>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</si>
  <si>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</si>
  <si>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</si>
  <si>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</si>
  <si>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</si>
  <si>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</si>
  <si>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</si>
  <si>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</si>
  <si>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</si>
  <si>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</si>
  <si>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</si>
  <si>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</si>
  <si>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</si>
  <si>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</si>
  <si>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</si>
  <si>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</si>
  <si>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</si>
  <si>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</si>
  <si>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</si>
  <si>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</si>
  <si>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</si>
  <si>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</si>
  <si>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</si>
  <si>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</si>
  <si>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</si>
  <si>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</si>
  <si>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</si>
  <si>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</si>
  <si>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</si>
  <si>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</si>
  <si>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</si>
  <si>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</si>
  <si>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</si>
  <si>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</si>
  <si>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</si>
  <si>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</si>
  <si>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</si>
  <si>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</si>
  <si>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</si>
  <si>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</si>
  <si>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</si>
  <si>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</si>
  <si>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</si>
  <si>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</si>
  <si>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</si>
  <si>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</si>
  <si>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</si>
  <si>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</si>
  <si>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</si>
  <si>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</si>
  <si>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</si>
  <si>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</si>
  <si>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</si>
  <si>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</si>
  <si>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</si>
  <si>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</si>
  <si>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</si>
  <si>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</si>
  <si>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</si>
  <si>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</si>
  <si>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</si>
  <si>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</si>
  <si>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</si>
  <si>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</si>
  <si>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</si>
  <si>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</si>
  <si>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</si>
  <si>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</si>
  <si>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</si>
  <si>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</si>
  <si>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</si>
  <si>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</si>
  <si>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</si>
  <si>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</si>
  <si>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</si>
  <si>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</si>
  <si>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</si>
  <si>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</si>
  <si>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</si>
  <si>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</si>
  <si>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</si>
  <si>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</si>
  <si>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</si>
  <si>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</si>
  <si>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</si>
  <si>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</si>
  <si>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</si>
  <si>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</si>
  <si>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</si>
  <si>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</si>
  <si>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</si>
  <si>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</si>
  <si>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</si>
  <si>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</si>
  <si>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</si>
  <si>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</si>
  <si>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</si>
  <si>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</si>
  <si>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</si>
  <si>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</si>
  <si>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</si>
  <si>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</si>
  <si>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</si>
  <si>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</si>
  <si>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</si>
  <si>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</si>
  <si>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</si>
  <si>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</si>
  <si>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</si>
  <si>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</si>
  <si>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</si>
  <si>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</si>
  <si>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</si>
  <si>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</si>
  <si>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</si>
  <si>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</si>
  <si>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</si>
  <si>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</si>
  <si>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</si>
  <si>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</si>
  <si>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</si>
  <si>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</si>
  <si>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</si>
  <si>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</si>
  <si>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</si>
  <si>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</si>
  <si>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</si>
  <si>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</si>
  <si>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</si>
  <si>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</si>
  <si>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</si>
  <si>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</si>
  <si>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</si>
  <si>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</si>
  <si>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</si>
  <si>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</si>
  <si>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</si>
  <si>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</si>
  <si>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</si>
  <si>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</si>
  <si>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</si>
  <si>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</si>
  <si>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</si>
  <si>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</si>
  <si>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</si>
  <si>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</si>
  <si>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</si>
  <si>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</si>
  <si>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</si>
  <si>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</si>
  <si>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</si>
  <si>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</si>
  <si>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</si>
  <si>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</si>
  <si>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</si>
  <si>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</si>
  <si>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</si>
  <si>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</si>
  <si>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</si>
  <si>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</si>
  <si>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</si>
  <si>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</si>
  <si>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</si>
  <si>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</si>
  <si>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</si>
  <si>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</si>
  <si>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</si>
  <si>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</si>
  <si>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</si>
  <si>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</si>
  <si>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</si>
  <si>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</si>
  <si>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</si>
  <si>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</si>
  <si>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</si>
  <si>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</si>
  <si>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</si>
  <si>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</si>
  <si>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</si>
  <si>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</si>
  <si>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</si>
  <si>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</si>
  <si>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</si>
  <si>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</si>
  <si>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</si>
  <si>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</si>
  <si>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</si>
  <si>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</si>
  <si>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</si>
  <si>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</si>
  <si>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</si>
  <si>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</si>
  <si>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</si>
  <si>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</si>
  <si>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</si>
  <si>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</si>
  <si>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</si>
  <si>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</si>
  <si>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</si>
  <si>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</si>
  <si>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</si>
  <si>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</si>
  <si>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</si>
  <si>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</si>
  <si>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</si>
  <si>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</si>
  <si>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</si>
  <si>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</si>
  <si>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</si>
  <si>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</si>
  <si>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</si>
  <si>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</si>
  <si>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</si>
  <si>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</si>
  <si>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</si>
  <si>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</si>
  <si>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</si>
  <si>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</si>
  <si>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</si>
  <si>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</si>
  <si>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</si>
  <si>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</si>
  <si>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</si>
  <si>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</si>
  <si>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</si>
  <si>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</si>
  <si>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</si>
  <si>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</si>
  <si>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</si>
  <si>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</si>
  <si>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</si>
  <si>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</si>
  <si>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</si>
  <si>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</si>
  <si>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</si>
  <si>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</si>
  <si>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</si>
  <si>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</si>
  <si>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</si>
  <si>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</si>
  <si>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</si>
  <si>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</si>
  <si>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</si>
  <si>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</si>
  <si>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</si>
  <si>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</si>
  <si>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</si>
  <si>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</si>
  <si>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</si>
  <si>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</si>
  <si>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</si>
  <si>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</si>
  <si>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</si>
  <si>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</si>
  <si>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</si>
  <si>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</si>
  <si>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</si>
  <si>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</si>
  <si>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</si>
  <si>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</si>
  <si>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</si>
  <si>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</si>
  <si>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</si>
  <si>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</si>
  <si>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</si>
  <si>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</si>
  <si>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</si>
  <si>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</si>
  <si>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</si>
  <si>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</si>
  <si>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</si>
  <si>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</si>
  <si>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</si>
  <si>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</si>
  <si>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</si>
  <si>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</si>
  <si>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</si>
  <si>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</si>
  <si>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</si>
  <si>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</si>
  <si>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</si>
  <si>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</si>
  <si>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</si>
  <si>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</si>
  <si>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</si>
  <si>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</si>
  <si>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</si>
  <si>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</si>
  <si>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</si>
  <si>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</si>
  <si>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</si>
  <si>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</si>
  <si>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</si>
  <si>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</si>
  <si>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</si>
  <si>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</si>
  <si>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</si>
  <si>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</si>
  <si>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</si>
  <si>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</si>
  <si>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</si>
  <si>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</si>
  <si>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</si>
  <si>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</si>
  <si>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</si>
  <si>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</si>
  <si>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</si>
  <si>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</si>
  <si>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</si>
  <si>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</si>
  <si>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</si>
  <si>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</si>
  <si>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</si>
  <si>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</si>
  <si>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</si>
  <si>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</si>
  <si>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</si>
  <si>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</si>
  <si>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</si>
  <si>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</si>
  <si>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</si>
  <si>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</si>
  <si>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</si>
  <si>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</si>
  <si>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</si>
  <si>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</si>
  <si>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</si>
  <si>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</si>
  <si>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</si>
  <si>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</si>
  <si>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</si>
  <si>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</si>
  <si>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</si>
  <si>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</si>
  <si>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</si>
  <si>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</si>
  <si>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</si>
  <si>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</si>
  <si>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</si>
  <si>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</si>
  <si>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</si>
  <si>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</si>
  <si>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</si>
  <si>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</si>
  <si>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</si>
  <si>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</si>
  <si>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</si>
  <si>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</si>
  <si>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</si>
  <si>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</si>
  <si>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</si>
  <si>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</si>
  <si>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</si>
  <si>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</si>
  <si>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</si>
  <si>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</si>
  <si>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</si>
  <si>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</si>
  <si>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</si>
  <si>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</si>
  <si>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</si>
  <si>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</si>
  <si>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</si>
  <si>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</si>
  <si>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</si>
  <si>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</si>
  <si>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</si>
  <si>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</si>
  <si>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</si>
  <si>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</si>
  <si>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</si>
  <si>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</si>
  <si>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</si>
  <si>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</si>
  <si>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</si>
  <si>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</si>
  <si>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</si>
  <si>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</si>
  <si>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</si>
  <si>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</si>
  <si>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</si>
  <si>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</si>
  <si>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</si>
  <si>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</si>
  <si>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</si>
  <si>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</si>
  <si>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</si>
  <si>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</si>
  <si>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</si>
  <si>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</si>
  <si>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</si>
  <si>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</si>
  <si>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</si>
  <si>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</si>
  <si>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</si>
  <si>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</si>
  <si>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</si>
  <si>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</si>
  <si>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</si>
  <si>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</si>
  <si>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</si>
  <si>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</si>
  <si>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</si>
  <si>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</si>
  <si>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</si>
  <si>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</si>
  <si>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</si>
  <si>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</si>
  <si>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</si>
  <si>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</si>
  <si>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</si>
  <si>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</si>
  <si>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</si>
  <si>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</si>
  <si>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</si>
  <si>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</si>
  <si>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</si>
  <si>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</si>
  <si>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</si>
  <si>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</si>
  <si>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</si>
  <si>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</si>
  <si>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</si>
  <si>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</si>
  <si>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</si>
  <si>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</si>
  <si>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</si>
  <si>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</si>
  <si>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</si>
  <si>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</si>
  <si>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</si>
  <si>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</si>
  <si>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</si>
  <si>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</si>
  <si>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</si>
  <si>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</si>
  <si>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</si>
  <si>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</si>
  <si>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</si>
  <si>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</si>
  <si>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</si>
  <si>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</si>
  <si>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</si>
  <si>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</si>
  <si>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</si>
  <si>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</si>
  <si>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</si>
  <si>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</si>
  <si>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</si>
  <si>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</si>
  <si>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</si>
  <si>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</si>
  <si>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</si>
  <si>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</si>
  <si>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</si>
  <si>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</si>
  <si>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</si>
  <si>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</si>
  <si>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</si>
  <si>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</si>
  <si>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</si>
  <si>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</si>
  <si>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</si>
  <si>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</si>
  <si>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</si>
  <si>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</si>
  <si>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</si>
  <si>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</si>
  <si>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</si>
  <si>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</si>
  <si>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</si>
  <si>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</si>
  <si>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</si>
  <si>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</si>
  <si>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</si>
  <si>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</si>
  <si>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</si>
  <si>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</si>
  <si>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</si>
  <si>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</si>
  <si>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</si>
  <si>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</si>
  <si>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</si>
  <si>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</si>
  <si>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</si>
  <si>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</si>
  <si>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</si>
  <si>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</si>
  <si>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</si>
  <si>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</si>
  <si>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</si>
  <si>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</si>
  <si>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</si>
  <si>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</si>
  <si>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</si>
  <si>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</si>
  <si>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</si>
  <si>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</si>
  <si>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</si>
  <si>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</si>
  <si>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</si>
  <si>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</si>
  <si>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</si>
  <si>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</si>
  <si>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</si>
  <si>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</si>
  <si>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</si>
  <si>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</si>
  <si>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</si>
  <si>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</si>
  <si>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</si>
  <si>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</si>
  <si>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</si>
  <si>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</si>
  <si>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</si>
  <si>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</si>
  <si>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</si>
  <si>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</si>
  <si>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</si>
  <si>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</si>
  <si>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</si>
  <si>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</si>
  <si>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</si>
  <si>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</si>
  <si>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</si>
  <si>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</si>
  <si>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</si>
  <si>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</si>
  <si>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</si>
  <si>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</si>
  <si>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</si>
  <si>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</si>
  <si>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</si>
  <si>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</si>
  <si>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</si>
  <si>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</si>
  <si>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</si>
  <si>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</si>
  <si>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</si>
  <si>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</si>
  <si>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</si>
  <si>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</si>
  <si>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</si>
  <si>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</si>
  <si>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</si>
  <si>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</si>
  <si>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</si>
  <si>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</si>
  <si>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</si>
  <si>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</si>
  <si>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</si>
  <si>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</si>
  <si>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</si>
  <si>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</si>
  <si>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</si>
  <si>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</si>
  <si>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</si>
  <si>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</si>
  <si>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</si>
  <si>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</si>
  <si>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</si>
  <si>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</si>
  <si>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</si>
  <si>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</si>
  <si>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</si>
  <si>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</si>
  <si>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</si>
  <si>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</si>
  <si>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</si>
  <si>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</si>
  <si>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</si>
  <si>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</si>
  <si>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</si>
  <si>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</si>
  <si>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</si>
  <si>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</si>
  <si>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</si>
  <si>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</si>
  <si>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</si>
  <si>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</si>
  <si>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</si>
  <si>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</si>
  <si>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</si>
  <si>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</si>
  <si>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</si>
  <si>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</si>
  <si>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</si>
  <si>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</si>
  <si>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</si>
  <si>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</si>
  <si>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</si>
  <si>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</si>
  <si>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</si>
  <si>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</si>
  <si>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</si>
  <si>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</si>
  <si>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</si>
  <si>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</si>
  <si>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</si>
  <si>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</si>
  <si>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</si>
  <si>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</si>
  <si>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</si>
  <si>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</si>
  <si>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</si>
  <si>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</si>
  <si>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</si>
  <si>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</si>
  <si>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</si>
  <si>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</si>
  <si>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</si>
  <si>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</si>
  <si>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</si>
  <si>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</si>
  <si>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</si>
  <si>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</si>
  <si>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</si>
  <si>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</si>
  <si>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</si>
  <si>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</si>
  <si>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</si>
  <si>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</si>
  <si>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</si>
  <si>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</si>
  <si>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</si>
  <si>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</si>
  <si>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</si>
  <si>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</si>
  <si>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</si>
  <si>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</si>
  <si>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</si>
  <si>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</si>
  <si>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</si>
  <si>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</si>
  <si>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</si>
  <si>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</si>
  <si>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</si>
  <si>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</si>
  <si>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</si>
  <si>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</si>
  <si>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</si>
  <si>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</si>
  <si>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</si>
  <si>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</si>
  <si>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</si>
  <si>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</si>
  <si>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</si>
  <si>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</si>
  <si>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</si>
  <si>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</si>
  <si>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</si>
  <si>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</si>
  <si>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</si>
  <si>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</si>
  <si>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</si>
  <si>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</si>
  <si>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</si>
  <si>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</si>
  <si>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</si>
  <si>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</si>
  <si>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</si>
  <si>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</si>
  <si>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</si>
  <si>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</si>
  <si>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</si>
  <si>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</si>
  <si>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</si>
  <si>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</si>
  <si>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</si>
  <si>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</si>
  <si>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</si>
  <si>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</si>
  <si>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</si>
  <si>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</si>
  <si>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</si>
  <si>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</si>
  <si>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</si>
  <si>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</si>
  <si>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</si>
  <si>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</si>
  <si>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</si>
  <si>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</si>
  <si>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</si>
  <si>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</si>
  <si>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</si>
  <si>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</si>
  <si>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</si>
  <si>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</si>
  <si>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</si>
  <si>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</si>
  <si>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</si>
  <si>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</si>
  <si>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</si>
  <si>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</si>
  <si>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</si>
  <si>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</si>
  <si>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</si>
  <si>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</si>
  <si>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</si>
  <si>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</si>
  <si>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</si>
  <si>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</si>
  <si>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</si>
  <si>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</si>
  <si>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</si>
  <si>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</si>
  <si>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</si>
  <si>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</si>
  <si>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</si>
  <si>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</si>
  <si>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</si>
  <si>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</si>
  <si>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</si>
  <si>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</si>
  <si>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</si>
  <si>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</si>
  <si>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</si>
  <si>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</si>
  <si>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</si>
  <si>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</si>
  <si>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</si>
  <si>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</si>
  <si>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</si>
  <si>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</si>
  <si>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</si>
  <si>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</si>
  <si>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</si>
  <si>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</si>
  <si>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</si>
  <si>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</si>
  <si>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</si>
  <si>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</si>
  <si>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</si>
  <si>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</si>
  <si>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</si>
  <si>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</si>
  <si>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</si>
  <si>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</si>
  <si>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</si>
  <si>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</si>
  <si>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</si>
  <si>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</si>
  <si>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</si>
  <si>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</si>
  <si>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</si>
  <si>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</si>
  <si>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</si>
  <si>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</si>
  <si>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</si>
  <si>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</si>
  <si>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</si>
  <si>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</si>
  <si>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</si>
  <si>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</si>
  <si>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</si>
  <si>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</si>
  <si>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</si>
  <si>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</si>
  <si>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</si>
  <si>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</si>
  <si>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</si>
  <si>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</si>
  <si>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</si>
  <si>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</si>
  <si>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</si>
  <si>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</si>
  <si>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</si>
  <si>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</si>
  <si>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</si>
  <si>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</si>
  <si>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</si>
  <si>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</si>
  <si>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</si>
  <si>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</si>
  <si>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</si>
  <si>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</si>
  <si>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</si>
  <si>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</si>
  <si>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</si>
  <si>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</si>
  <si>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</si>
  <si>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</si>
  <si>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</si>
  <si>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</si>
  <si>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</si>
  <si>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</si>
  <si>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</si>
  <si>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</si>
  <si>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</si>
  <si>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</si>
  <si>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</si>
  <si>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</si>
  <si>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</si>
  <si>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</si>
  <si>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</si>
  <si>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</si>
  <si>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</si>
  <si>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</si>
  <si>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</si>
  <si>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</si>
  <si>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</si>
  <si>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</si>
  <si>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</si>
  <si>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</si>
  <si>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</si>
  <si>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</si>
  <si>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</si>
  <si>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</si>
  <si>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</si>
  <si>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</si>
  <si>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</si>
  <si>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</si>
  <si>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</si>
  <si>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</si>
  <si>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</si>
  <si>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</si>
  <si>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</si>
  <si>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</si>
  <si>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</si>
  <si>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</si>
  <si>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</si>
  <si>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</si>
  <si>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</si>
  <si>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</si>
  <si>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</si>
  <si>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</si>
  <si>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</si>
  <si>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</si>
  <si>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</si>
  <si>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</si>
  <si>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</si>
  <si>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</si>
  <si>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</si>
  <si>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</si>
  <si>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</si>
  <si>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</si>
  <si>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</si>
  <si>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</si>
  <si>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</si>
  <si>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</si>
  <si>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</si>
  <si>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</si>
  <si>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</si>
  <si>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</si>
  <si>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</si>
  <si>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</si>
  <si>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</si>
  <si>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</si>
  <si>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</si>
  <si>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</si>
  <si>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</si>
  <si>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</si>
  <si>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</si>
  <si>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</si>
  <si>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</si>
  <si>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</si>
  <si>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</si>
  <si>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</si>
  <si>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</si>
  <si>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</si>
  <si>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</si>
  <si>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</si>
  <si>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</si>
  <si>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</si>
  <si>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</si>
  <si>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</si>
  <si>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</si>
  <si>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</si>
  <si>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</si>
  <si>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</si>
  <si>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</si>
  <si>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</si>
  <si>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</si>
  <si>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</si>
  <si>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</si>
  <si>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</si>
  <si>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</si>
  <si>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</si>
  <si>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</si>
  <si>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</si>
  <si>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</si>
  <si>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</si>
  <si>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</si>
  <si>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</si>
  <si>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</si>
  <si>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</si>
  <si>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</si>
  <si>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</si>
  <si>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</si>
  <si>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</si>
  <si>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</si>
  <si>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</si>
  <si>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</si>
  <si>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</si>
  <si>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</si>
  <si>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</si>
  <si>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</si>
  <si>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</si>
  <si>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</si>
  <si>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</si>
  <si>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</si>
  <si>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</si>
  <si>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</si>
  <si>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</si>
  <si>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</si>
  <si>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</si>
  <si>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</si>
  <si>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</si>
  <si>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</si>
  <si>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</si>
  <si>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</si>
  <si>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</si>
  <si>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</si>
  <si>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</si>
  <si>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</si>
  <si>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</si>
  <si>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</si>
  <si>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</si>
  <si>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</si>
  <si>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</si>
  <si>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</si>
  <si>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</si>
  <si>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</si>
  <si>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</si>
  <si>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</si>
  <si>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</si>
  <si>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</si>
  <si>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</si>
  <si>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</si>
  <si>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</si>
  <si>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</si>
  <si>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</si>
  <si>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</si>
  <si>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</si>
  <si>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</si>
  <si>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</si>
  <si>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</si>
  <si>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</si>
  <si>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</si>
  <si>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</si>
  <si>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</si>
  <si>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</si>
  <si>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</si>
  <si>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</si>
  <si>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</si>
  <si>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</si>
  <si>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</si>
  <si>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</si>
  <si>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</si>
  <si>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</si>
  <si>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</si>
  <si>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</si>
  <si>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</si>
  <si>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</si>
  <si>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</si>
  <si>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</si>
  <si>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</si>
  <si>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</si>
  <si>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</si>
  <si>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</si>
  <si>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</si>
  <si>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</si>
  <si>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</si>
  <si>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</si>
  <si>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</si>
  <si>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</si>
  <si>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</si>
  <si>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</si>
  <si>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</si>
  <si>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</si>
  <si>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</si>
  <si>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</si>
  <si>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</si>
  <si>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</si>
  <si>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</si>
  <si>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</si>
  <si>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</si>
  <si>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</si>
  <si>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</si>
  <si>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</si>
  <si>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</si>
  <si>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</si>
  <si>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</si>
  <si>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</si>
  <si>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</si>
  <si>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</si>
  <si>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</si>
  <si>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</si>
  <si>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</si>
  <si>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</si>
  <si>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</si>
  <si>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</si>
  <si>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</si>
  <si>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</si>
  <si>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</si>
  <si>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</si>
  <si>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</si>
  <si>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</si>
  <si>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</si>
  <si>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</si>
  <si>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</si>
  <si>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</si>
  <si>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</si>
  <si>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</si>
  <si>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</si>
  <si>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</si>
  <si>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</si>
  <si>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</si>
  <si>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</si>
  <si>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</si>
  <si>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</si>
  <si>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</si>
  <si>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</si>
  <si>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</si>
  <si>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</si>
  <si>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</si>
  <si>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</si>
  <si>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</si>
  <si>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</si>
  <si>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</si>
  <si>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</si>
  <si>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</si>
  <si>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</si>
  <si>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</si>
  <si>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</si>
  <si>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</si>
  <si>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</si>
  <si>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</si>
  <si>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</si>
  <si>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</si>
  <si>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</si>
  <si>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</si>
  <si>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</si>
  <si>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</si>
  <si>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</si>
  <si>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</si>
  <si>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</si>
  <si>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</si>
  <si>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</si>
  <si>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</si>
  <si>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</si>
  <si>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</si>
  <si>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</si>
  <si>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</si>
  <si>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</si>
  <si>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</si>
  <si>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</si>
  <si>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</si>
  <si>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</si>
  <si>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</si>
  <si>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</si>
  <si>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</si>
  <si>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</si>
  <si>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</si>
  <si>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</si>
  <si>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</si>
  <si>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</si>
  <si>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</si>
  <si>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</si>
  <si>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</si>
  <si>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</si>
  <si>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</si>
  <si>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</si>
  <si>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</si>
  <si>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</si>
  <si>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</si>
  <si>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</si>
  <si>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</si>
  <si>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</si>
  <si>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</si>
  <si>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</si>
  <si>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</si>
  <si>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</si>
  <si>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</si>
  <si>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</si>
  <si>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</si>
  <si>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</si>
  <si>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</si>
  <si>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</si>
  <si>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</si>
  <si>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</si>
  <si>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</si>
  <si>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</si>
  <si>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</si>
  <si>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</si>
  <si>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</si>
  <si>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</si>
  <si>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</si>
  <si>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</si>
  <si>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</si>
  <si>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</si>
  <si>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</si>
  <si>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</si>
  <si>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</si>
  <si>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</si>
  <si>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</si>
  <si>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</si>
  <si>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</si>
  <si>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</si>
  <si>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</si>
  <si>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</si>
  <si>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</si>
  <si>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</si>
  <si>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</si>
  <si>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</si>
  <si>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</si>
  <si>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</si>
  <si>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</si>
  <si>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</si>
  <si>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</si>
  <si>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</si>
  <si>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</si>
  <si>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</si>
  <si>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</si>
  <si>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</si>
  <si>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</si>
  <si>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</si>
  <si>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</si>
  <si>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</si>
  <si>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</si>
  <si>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</si>
  <si>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</si>
  <si>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</si>
  <si>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</si>
  <si>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</si>
  <si>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</si>
  <si>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</si>
  <si>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</si>
  <si>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</si>
  <si>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</si>
  <si>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</si>
  <si>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</si>
  <si>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</si>
  <si>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</si>
  <si>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</si>
  <si>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</si>
  <si>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</si>
  <si>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</si>
  <si>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</si>
  <si>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</si>
  <si>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</si>
  <si>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</si>
  <si>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</si>
  <si>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</si>
  <si>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</si>
  <si>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</si>
  <si>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</si>
  <si>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</si>
  <si>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</si>
  <si>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</si>
  <si>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</si>
  <si>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</si>
  <si>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</si>
  <si>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</si>
  <si>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</si>
  <si>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</si>
  <si>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</si>
  <si>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</si>
  <si>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</si>
  <si>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</si>
  <si>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</si>
  <si>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</si>
  <si>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</si>
  <si>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</si>
  <si>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</si>
  <si>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</si>
  <si>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</si>
  <si>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</si>
  <si>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</si>
  <si>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</si>
  <si>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</si>
  <si>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</si>
  <si>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</si>
  <si>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</si>
  <si>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</si>
  <si>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</si>
  <si>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</si>
  <si>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</si>
  <si>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</si>
  <si>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</si>
  <si>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</si>
  <si>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</si>
  <si>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</si>
  <si>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</si>
  <si>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</si>
  <si>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</si>
  <si>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</si>
  <si>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</si>
  <si>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</si>
  <si>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</si>
  <si>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</si>
  <si>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</si>
  <si>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</si>
  <si>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</si>
  <si>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</si>
  <si>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</si>
  <si>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</si>
  <si>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</si>
  <si>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</si>
  <si>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</si>
  <si>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</si>
  <si>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</si>
  <si>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</si>
  <si>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</si>
  <si>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</si>
  <si>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</si>
  <si>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</si>
  <si>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</si>
  <si>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</si>
  <si>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</si>
  <si>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</si>
  <si>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</si>
  <si>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</si>
  <si>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</si>
  <si>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</si>
  <si>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</si>
  <si>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</si>
  <si>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</si>
  <si>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</si>
  <si>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</si>
  <si>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</si>
  <si>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</si>
  <si>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</si>
  <si>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</si>
  <si>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</si>
  <si>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</si>
  <si>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</si>
  <si>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</si>
  <si>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</si>
  <si>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</si>
  <si>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</si>
  <si>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</si>
  <si>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</si>
  <si>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</si>
  <si>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</si>
  <si>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</si>
  <si>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</si>
  <si>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</si>
  <si>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</si>
  <si>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</si>
  <si>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</si>
  <si>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</si>
  <si>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</si>
  <si>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</si>
  <si>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</si>
  <si>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</si>
  <si>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</si>
  <si>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</si>
  <si>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</si>
  <si>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</si>
  <si>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</si>
  <si>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</si>
  <si>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</si>
  <si>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</si>
  <si>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</si>
  <si>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</si>
  <si>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</si>
  <si>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</si>
  <si>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</si>
  <si>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</si>
  <si>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</si>
  <si>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</si>
  <si>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</si>
  <si>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</si>
  <si>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</si>
  <si>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</si>
  <si>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</si>
  <si>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</si>
  <si>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</si>
  <si>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</si>
  <si>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</si>
  <si>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</si>
  <si>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</si>
  <si>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</si>
  <si>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</si>
  <si>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</si>
  <si>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</si>
  <si>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</si>
  <si>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</si>
  <si>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</si>
  <si>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</si>
  <si>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</si>
  <si>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</si>
  <si>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</si>
  <si>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</si>
  <si>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</si>
  <si>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</si>
  <si>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</si>
  <si>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</si>
  <si>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</si>
  <si>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</si>
  <si>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</si>
  <si>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</si>
  <si>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</si>
  <si>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</si>
  <si>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</si>
  <si>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</si>
  <si>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</si>
  <si>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</si>
  <si>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</si>
  <si>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</si>
  <si>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</si>
  <si>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</si>
  <si>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</si>
  <si>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</si>
  <si>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</si>
  <si>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</si>
  <si>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</si>
  <si>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</si>
  <si>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</si>
  <si>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</si>
  <si>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</si>
  <si>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</si>
  <si>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</si>
  <si>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</si>
  <si>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</si>
  <si>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</si>
  <si>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</si>
  <si>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</si>
  <si>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</si>
  <si>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</si>
  <si>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</si>
  <si>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</si>
  <si>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</si>
  <si>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</si>
  <si>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</si>
  <si>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</si>
  <si>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</si>
  <si>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</si>
  <si>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</si>
  <si>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</si>
  <si>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</si>
  <si>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</si>
  <si>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</si>
  <si>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</si>
  <si>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</si>
  <si>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</si>
  <si>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</si>
  <si>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</si>
  <si>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</si>
  <si>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</si>
  <si>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</si>
  <si>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</si>
  <si>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</si>
  <si>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</si>
  <si>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</si>
  <si>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</si>
  <si>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</si>
  <si>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</si>
  <si>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</si>
  <si>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</si>
  <si>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</si>
  <si>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</si>
  <si>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</si>
  <si>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</si>
  <si>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</si>
  <si>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</si>
  <si>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</si>
  <si>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</si>
  <si>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</si>
  <si>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</si>
  <si>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</si>
  <si>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</si>
  <si>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</si>
  <si>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</si>
  <si>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</si>
  <si>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</si>
  <si>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</si>
  <si>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</si>
  <si>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</si>
  <si>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</si>
  <si>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</si>
  <si>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</si>
  <si>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</si>
  <si>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</si>
  <si>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</si>
  <si>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</si>
  <si>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</si>
  <si>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</si>
  <si>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</si>
  <si>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</si>
  <si>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</si>
  <si>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</si>
  <si>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</si>
  <si>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</si>
  <si>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</si>
  <si>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</si>
  <si>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</si>
  <si>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</si>
  <si>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</si>
  <si>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</si>
  <si>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</si>
  <si>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</si>
  <si>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</si>
  <si>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</si>
  <si>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</si>
  <si>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</si>
  <si>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</si>
  <si>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</si>
  <si>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</si>
  <si>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</si>
  <si>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</si>
  <si>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</si>
  <si>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</si>
  <si>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</si>
  <si>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</si>
  <si>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</si>
  <si>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</si>
  <si>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</si>
  <si>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</si>
  <si>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</si>
  <si>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</si>
  <si>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</si>
  <si>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</si>
  <si>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</si>
  <si>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</si>
  <si>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</si>
  <si>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</si>
  <si>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</si>
  <si>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</si>
  <si>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</si>
  <si>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</si>
  <si>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</si>
  <si>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</si>
  <si>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</si>
  <si>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</si>
  <si>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</si>
  <si>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</si>
  <si>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</si>
  <si>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</si>
  <si>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</si>
  <si>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</si>
  <si>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</si>
  <si>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</si>
  <si>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</si>
  <si>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</si>
  <si>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</si>
  <si>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</si>
  <si>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</si>
  <si>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</si>
  <si>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</si>
  <si>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</si>
  <si>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</si>
  <si>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</si>
  <si>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</si>
  <si>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</si>
  <si>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</si>
  <si>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</si>
  <si>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</si>
  <si>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</si>
  <si>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</si>
  <si>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</si>
  <si>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</si>
  <si>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</si>
  <si>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</si>
  <si>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</si>
  <si>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</si>
  <si>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</si>
  <si>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</si>
  <si>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</si>
  <si>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</si>
  <si>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</si>
  <si>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</si>
  <si>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</si>
  <si>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</si>
  <si>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</si>
  <si>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</si>
  <si>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</si>
  <si>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</si>
  <si>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</si>
  <si>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</si>
  <si>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</si>
  <si>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</si>
  <si>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</si>
  <si>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</si>
  <si>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</si>
  <si>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</si>
  <si>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</si>
  <si>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</si>
  <si>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</si>
  <si>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</si>
  <si>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</si>
  <si>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</si>
  <si>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</si>
  <si>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</si>
  <si>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</si>
  <si>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</si>
  <si>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</si>
  <si>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</si>
  <si>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</si>
  <si>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</si>
  <si>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</si>
  <si>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</si>
  <si>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</si>
  <si>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</si>
  <si>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</si>
  <si>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</si>
  <si>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</si>
  <si>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</si>
  <si>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</si>
  <si>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</si>
  <si>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</si>
  <si>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</si>
  <si>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</si>
  <si>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</si>
  <si>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</si>
  <si>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</si>
  <si>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</si>
  <si>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</si>
  <si>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</si>
  <si>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</si>
  <si>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</si>
  <si>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</si>
  <si>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</si>
  <si>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</si>
  <si>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</si>
  <si>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</si>
  <si>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</si>
  <si>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</si>
  <si>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</si>
  <si>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</si>
  <si>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</si>
  <si>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</si>
  <si>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</si>
  <si>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</si>
  <si>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</si>
  <si>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</si>
  <si>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</si>
  <si>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</si>
  <si>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</si>
  <si>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</si>
  <si>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</si>
  <si>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</si>
  <si>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</si>
  <si>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</si>
  <si>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</si>
  <si>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</si>
  <si>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</si>
  <si>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</si>
  <si>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</si>
  <si>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</si>
  <si>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</si>
  <si>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</si>
  <si>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</si>
  <si>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</si>
  <si>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</si>
  <si>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</si>
  <si>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</si>
  <si>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</si>
  <si>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</si>
  <si>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</si>
  <si>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</si>
  <si>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</si>
  <si>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</si>
  <si>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</si>
  <si>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</si>
  <si>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</si>
  <si>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</si>
  <si>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</si>
  <si>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</si>
  <si>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</si>
  <si>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</si>
  <si>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</si>
  <si>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</si>
  <si>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</si>
  <si>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</si>
  <si>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</si>
  <si>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</si>
  <si>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</si>
  <si>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</si>
  <si>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</si>
  <si>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</si>
  <si>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</si>
  <si>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</si>
  <si>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</si>
  <si>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</si>
  <si>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</si>
  <si>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</si>
  <si>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</si>
  <si>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</si>
  <si>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</si>
  <si>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</si>
  <si>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</si>
  <si>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</si>
  <si>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</si>
  <si>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</si>
  <si>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</si>
  <si>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</si>
  <si>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</si>
  <si>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</si>
  <si>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</si>
  <si>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</si>
  <si>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</si>
  <si>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</si>
  <si>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</si>
  <si>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</si>
  <si>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</si>
  <si>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</si>
  <si>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</si>
  <si>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</si>
  <si>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</si>
  <si>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</si>
  <si>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</si>
  <si>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</si>
  <si>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</si>
  <si>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</si>
  <si>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</si>
  <si>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</si>
  <si>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</si>
  <si>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</si>
  <si>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</si>
  <si>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</si>
  <si>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</si>
  <si>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</si>
  <si>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</si>
  <si>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</si>
  <si>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</si>
  <si>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</si>
  <si>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</si>
  <si>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</si>
  <si>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</si>
  <si>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</si>
  <si>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</si>
  <si>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</si>
  <si>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</si>
  <si>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</si>
  <si>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</si>
  <si>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</si>
  <si>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</si>
  <si>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</si>
  <si>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</si>
  <si>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</si>
  <si>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</si>
  <si>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</si>
  <si>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</si>
  <si>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</si>
  <si>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</si>
  <si>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</si>
  <si>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</si>
  <si>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</si>
  <si>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</si>
  <si>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</si>
  <si>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</si>
  <si>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</si>
  <si>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</si>
  <si>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</si>
  <si>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</si>
  <si>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</si>
  <si>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</si>
  <si>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</si>
  <si>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</si>
  <si>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</si>
  <si>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</si>
  <si>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</si>
  <si>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</si>
  <si>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</si>
  <si>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</si>
  <si>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</si>
  <si>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</si>
  <si>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</si>
  <si>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</si>
  <si>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</si>
  <si>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</si>
  <si>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</si>
  <si>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</si>
  <si>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</si>
  <si>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</si>
  <si>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</si>
  <si>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</si>
  <si>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</si>
  <si>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</si>
  <si>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</si>
  <si>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</si>
  <si>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</si>
  <si>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</si>
  <si>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</si>
  <si>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</si>
  <si>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</si>
  <si>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</si>
  <si>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</si>
  <si>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</si>
  <si>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</si>
  <si>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</si>
  <si>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</si>
  <si>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</si>
  <si>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</si>
  <si>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</si>
  <si>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</si>
  <si>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</si>
  <si>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</si>
  <si>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</si>
  <si>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</si>
  <si>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</si>
  <si>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</si>
  <si>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</si>
  <si>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</si>
  <si>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</si>
  <si>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</si>
  <si>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</si>
  <si>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</si>
  <si>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</si>
  <si>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</si>
  <si>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</si>
  <si>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</si>
  <si>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</si>
  <si>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</si>
  <si>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</si>
  <si>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</si>
  <si>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</si>
  <si>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</si>
  <si>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</si>
  <si>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</si>
  <si>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</si>
  <si>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</si>
  <si>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</si>
  <si>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</si>
  <si>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</si>
  <si>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</si>
  <si>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</si>
  <si>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</si>
  <si>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</si>
  <si>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</si>
  <si>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</si>
  <si>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</si>
  <si>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</si>
  <si>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</si>
  <si>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</si>
  <si>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</si>
  <si>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</si>
  <si>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</si>
  <si>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</si>
  <si>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</si>
  <si>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</si>
  <si>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</si>
  <si>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</si>
  <si>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</si>
  <si>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</si>
  <si>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</si>
  <si>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</si>
  <si>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</si>
  <si>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</si>
  <si>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</si>
  <si>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</si>
  <si>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</si>
  <si>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</si>
  <si>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</si>
  <si>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</si>
  <si>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</si>
  <si>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</si>
  <si>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</si>
  <si>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</si>
  <si>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</si>
  <si>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</si>
  <si>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</si>
  <si>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</si>
  <si>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</si>
  <si>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</si>
  <si>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</si>
  <si>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</si>
  <si>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</si>
  <si>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</si>
  <si>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</si>
  <si>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</si>
  <si>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</si>
  <si>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</si>
  <si>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</si>
  <si>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</si>
  <si>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</si>
  <si>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</si>
  <si>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</si>
  <si>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</si>
  <si>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</si>
  <si>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</si>
  <si>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</si>
  <si>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</si>
  <si>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</si>
  <si>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</si>
  <si>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</si>
  <si>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</si>
  <si>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</si>
  <si>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</si>
  <si>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</si>
  <si>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</si>
  <si>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</si>
  <si>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</si>
  <si>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</si>
  <si>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</si>
  <si>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</si>
  <si>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</si>
  <si>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</si>
  <si>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</si>
  <si>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</si>
  <si>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</si>
  <si>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</si>
  <si>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</si>
  <si>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</si>
  <si>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</si>
  <si>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</si>
  <si>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</si>
  <si>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</si>
  <si>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</si>
  <si>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</si>
  <si>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</si>
  <si>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</si>
  <si>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</si>
  <si>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</si>
  <si>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</si>
  <si>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</si>
  <si>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</si>
  <si>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</si>
  <si>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</si>
  <si>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</si>
  <si>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</si>
  <si>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</si>
  <si>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</si>
  <si>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</si>
  <si>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</si>
  <si>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</si>
  <si>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</si>
  <si>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</si>
  <si>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</si>
  <si>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</si>
  <si>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</si>
  <si>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</si>
  <si>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</si>
  <si>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</si>
  <si>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</si>
  <si>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</si>
  <si>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</si>
  <si>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</si>
  <si>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</si>
  <si>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</si>
  <si>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</si>
  <si>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</si>
  <si>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</si>
  <si>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</si>
  <si>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</si>
  <si>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</si>
  <si>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</si>
  <si>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</si>
  <si>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</si>
  <si>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</si>
  <si>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</si>
  <si>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</si>
  <si>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</si>
  <si>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</si>
  <si>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</si>
  <si>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</si>
  <si>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</si>
  <si>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</si>
  <si>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</si>
  <si>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</si>
  <si>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</si>
  <si>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</si>
  <si>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</si>
  <si>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</si>
  <si>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</si>
  <si>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</si>
  <si>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</si>
  <si>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</si>
  <si>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</si>
  <si>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</si>
  <si>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</si>
  <si>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</si>
  <si>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</si>
  <si>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</si>
  <si>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</si>
  <si>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</si>
  <si>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</si>
  <si>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</si>
  <si>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</si>
  <si>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</si>
  <si>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</si>
  <si>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</si>
  <si>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</si>
  <si>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</si>
  <si>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</si>
  <si>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</si>
  <si>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</si>
  <si>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</si>
  <si>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</si>
  <si>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</si>
  <si>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</si>
  <si>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</si>
  <si>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</si>
  <si>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</si>
  <si>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</si>
  <si>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</si>
  <si>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</si>
  <si>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</si>
  <si>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</si>
  <si>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</si>
  <si>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</si>
  <si>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</si>
  <si>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</si>
  <si>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</si>
  <si>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</si>
  <si>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</si>
  <si>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</si>
  <si>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</si>
  <si>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</si>
  <si>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</si>
  <si>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</si>
  <si>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</si>
  <si>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</si>
  <si>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</si>
  <si>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</si>
  <si>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</si>
  <si>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</si>
  <si>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</si>
  <si>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</si>
  <si>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</si>
  <si>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</si>
  <si>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</si>
  <si>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</si>
  <si>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</si>
  <si>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</si>
  <si>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</si>
  <si>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</si>
  <si>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</si>
  <si>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</si>
  <si>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</si>
  <si>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</si>
  <si>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</si>
  <si>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</si>
  <si>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</si>
  <si>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</si>
  <si>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</si>
  <si>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</si>
  <si>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</si>
  <si>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</si>
  <si>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</si>
  <si>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</si>
  <si>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</si>
  <si>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</si>
  <si>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</si>
  <si>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</si>
  <si>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</si>
  <si>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</si>
  <si>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</si>
  <si>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</si>
  <si>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</si>
  <si>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</si>
  <si>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</si>
  <si>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</si>
  <si>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</si>
  <si>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</si>
  <si>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</si>
  <si>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</si>
  <si>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</si>
  <si>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</si>
  <si>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</si>
  <si>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</si>
  <si>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</si>
  <si>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</si>
  <si>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</si>
  <si>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</si>
  <si>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</si>
  <si>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</si>
  <si>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</si>
  <si>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</si>
  <si>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</si>
  <si>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</si>
  <si>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</si>
  <si>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</si>
  <si>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</si>
  <si>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</si>
  <si>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</si>
  <si>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</si>
  <si>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</si>
  <si>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</si>
  <si>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</si>
  <si>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</si>
  <si>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</si>
  <si>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</si>
  <si>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</si>
  <si>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</si>
  <si>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</si>
  <si>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</si>
  <si>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</si>
  <si>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</si>
  <si>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</si>
  <si>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</si>
  <si>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</si>
  <si>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</si>
  <si>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</si>
  <si>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</si>
  <si>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</si>
  <si>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</si>
  <si>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</si>
  <si>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</si>
  <si>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</si>
  <si>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</si>
  <si>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</si>
  <si>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</si>
  <si>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</si>
  <si>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</si>
  <si>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</si>
  <si>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</si>
  <si>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</si>
  <si>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</si>
  <si>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</si>
  <si>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</si>
  <si>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</si>
  <si>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</si>
  <si>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</si>
  <si>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</si>
  <si>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</si>
  <si>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</si>
  <si>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</si>
  <si>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</si>
  <si>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</si>
  <si>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</si>
  <si>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</si>
  <si>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</si>
  <si>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</si>
  <si>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</si>
  <si>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</si>
  <si>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</si>
  <si>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</si>
  <si>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</si>
  <si>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</si>
  <si>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</si>
  <si>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</si>
  <si>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</si>
  <si>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</si>
  <si>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</si>
  <si>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</si>
  <si>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</si>
  <si>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</si>
  <si>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</si>
  <si>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</si>
  <si>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</si>
  <si>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</si>
  <si>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</si>
  <si>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</si>
  <si>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</si>
  <si>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</si>
  <si>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</si>
  <si>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</si>
  <si>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</si>
  <si>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</si>
  <si>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</si>
  <si>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</si>
  <si>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</si>
  <si>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</si>
  <si>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</si>
  <si>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</si>
  <si>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</si>
  <si>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</si>
  <si>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</si>
  <si>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</si>
  <si>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</si>
  <si>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</si>
  <si>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</si>
  <si>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</si>
  <si>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</si>
  <si>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</si>
  <si>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</si>
  <si>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</si>
  <si>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</si>
  <si>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</si>
  <si>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</si>
  <si>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</si>
  <si>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</si>
  <si>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</si>
  <si>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</si>
  <si>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</si>
  <si>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</si>
  <si>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</si>
  <si>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</si>
  <si>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</si>
  <si>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</si>
  <si>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</si>
  <si>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</si>
  <si>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</si>
  <si>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</si>
  <si>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</si>
  <si>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</si>
  <si>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</si>
  <si>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</si>
  <si>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</si>
  <si>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</si>
  <si>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</si>
  <si>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</si>
  <si>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</si>
  <si>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</si>
  <si>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</si>
  <si>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</si>
  <si>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</si>
  <si>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</si>
  <si>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</si>
  <si>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</si>
  <si>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</si>
  <si>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</si>
  <si>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</si>
  <si>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</si>
  <si>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</si>
  <si>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</si>
  <si>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</si>
  <si>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</si>
  <si>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</si>
  <si>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</si>
  <si>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</si>
  <si>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</si>
  <si>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</si>
  <si>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</si>
  <si>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</si>
  <si>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</si>
  <si>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</si>
  <si>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</si>
  <si>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</si>
  <si>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</si>
  <si>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</si>
  <si>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</si>
  <si>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</si>
  <si>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</si>
  <si>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</si>
  <si>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</si>
  <si>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</si>
  <si>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</si>
  <si>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</si>
  <si>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</si>
  <si>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</si>
  <si>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</si>
  <si>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</si>
  <si>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</si>
  <si>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</si>
  <si>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</si>
  <si>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</si>
  <si>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</si>
  <si>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</si>
  <si>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</si>
  <si>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</si>
  <si>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</si>
  <si>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</si>
  <si>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</si>
  <si>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</si>
  <si>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</si>
  <si>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</si>
  <si>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</si>
  <si>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</si>
  <si>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</si>
  <si>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</si>
  <si>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</si>
  <si>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</si>
  <si>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</si>
  <si>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</si>
  <si>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</si>
  <si>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</si>
  <si>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</si>
  <si>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</si>
  <si>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</si>
  <si>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</si>
  <si>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</si>
  <si>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</si>
  <si>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</si>
  <si>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</si>
  <si>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</si>
  <si>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</si>
  <si>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</si>
  <si>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</si>
  <si>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</si>
  <si>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</si>
  <si>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</si>
  <si>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</si>
  <si>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</si>
  <si>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</si>
  <si>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</si>
  <si>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</si>
  <si>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</si>
  <si>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</si>
  <si>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</si>
  <si>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</si>
  <si>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</si>
  <si>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</si>
  <si>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</si>
  <si>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</si>
  <si>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</si>
  <si>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</si>
  <si>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</si>
  <si>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</si>
  <si>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</si>
  <si>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</si>
  <si>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</si>
  <si>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</si>
  <si>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</si>
  <si>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</si>
  <si>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</si>
  <si>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</si>
  <si>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</si>
  <si>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</si>
  <si>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</si>
  <si>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</si>
  <si>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</si>
  <si>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</si>
  <si>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</si>
  <si>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</si>
  <si>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</si>
  <si>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</si>
  <si>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</si>
  <si>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</si>
  <si>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</si>
  <si>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</si>
  <si>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</si>
  <si>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</si>
  <si>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</si>
  <si>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</si>
  <si>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</si>
  <si>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</si>
  <si>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</si>
  <si>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</si>
  <si>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</si>
  <si>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</si>
  <si>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</si>
  <si>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</si>
  <si>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</si>
  <si>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</si>
  <si>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</si>
  <si>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</si>
  <si>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</si>
  <si>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</si>
  <si>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</si>
  <si>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</si>
  <si>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</si>
  <si>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</si>
  <si>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</si>
  <si>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</si>
  <si>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</si>
  <si>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</si>
  <si>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</si>
  <si>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</si>
  <si>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</si>
  <si>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</si>
  <si>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</si>
  <si>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</si>
  <si>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</si>
  <si>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</si>
  <si>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</si>
  <si>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</si>
  <si>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</si>
  <si>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</si>
  <si>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</si>
  <si>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</si>
  <si>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</si>
  <si>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</si>
  <si>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</si>
  <si>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</si>
  <si>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</si>
  <si>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</si>
  <si>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</si>
  <si>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</si>
  <si>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</si>
  <si>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</si>
  <si>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</si>
  <si>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</si>
  <si>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</si>
  <si>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</si>
  <si>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</si>
  <si>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</si>
  <si>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</si>
  <si>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</si>
  <si>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</si>
  <si>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</si>
  <si>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</si>
  <si>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</si>
  <si>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</si>
  <si>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</si>
  <si>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</si>
  <si>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</si>
  <si>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</si>
  <si>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</si>
  <si>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</si>
  <si>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</si>
  <si>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</si>
  <si>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</si>
  <si>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</si>
  <si>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</si>
  <si>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</si>
  <si>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</si>
  <si>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</si>
  <si>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</si>
  <si>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</si>
  <si>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</si>
  <si>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</si>
  <si>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</si>
  <si>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</si>
  <si>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</si>
  <si>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</si>
  <si>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</si>
  <si>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</si>
  <si>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</si>
  <si>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</si>
  <si>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</si>
  <si>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</si>
  <si>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</si>
  <si>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</si>
  <si>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</si>
  <si>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</si>
  <si>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</si>
  <si>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</si>
  <si>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</si>
  <si>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</si>
  <si>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</si>
  <si>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</si>
  <si>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</si>
  <si>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</si>
  <si>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</si>
  <si>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</si>
  <si>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</si>
  <si>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</si>
  <si>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</si>
  <si>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</si>
  <si>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</si>
  <si>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</si>
  <si>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</si>
  <si>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</si>
  <si>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</si>
  <si>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</si>
  <si>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</si>
  <si>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</si>
  <si>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</si>
  <si>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</si>
  <si>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</si>
  <si>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</si>
  <si>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</si>
  <si>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</si>
  <si>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</si>
  <si>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</si>
  <si>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</si>
  <si>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</si>
  <si>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</si>
  <si>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</si>
  <si>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</si>
  <si>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</si>
  <si>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</si>
  <si>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</si>
  <si>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</si>
  <si>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</si>
  <si>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</si>
  <si>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</si>
  <si>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</si>
  <si>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</si>
  <si>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</si>
  <si>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</si>
  <si>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</si>
  <si>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</si>
  <si>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</si>
  <si>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</si>
  <si>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</si>
  <si>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</si>
  <si>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</si>
  <si>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</si>
  <si>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</si>
  <si>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</si>
  <si>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</si>
  <si>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</si>
  <si>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</si>
  <si>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</si>
  <si>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</si>
  <si>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</si>
  <si>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</si>
  <si>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</si>
  <si>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</si>
  <si>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</si>
  <si>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</si>
  <si>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</si>
  <si>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</si>
  <si>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</si>
  <si>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</si>
  <si>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</si>
  <si>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</si>
  <si>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</si>
  <si>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</si>
  <si>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</si>
  <si>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</si>
  <si>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</si>
  <si>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</si>
  <si>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</si>
  <si>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</si>
  <si>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</si>
  <si>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</si>
  <si>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</si>
  <si>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</si>
  <si>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</si>
  <si>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</si>
  <si>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</si>
  <si>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</si>
  <si>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</si>
  <si>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</si>
  <si>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</si>
  <si>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</si>
  <si>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</si>
  <si>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</si>
  <si>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</si>
  <si>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</si>
  <si>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</si>
  <si>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</si>
  <si>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</si>
  <si>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</si>
  <si>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</si>
  <si>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</si>
  <si>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</si>
  <si>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</si>
  <si>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</si>
  <si>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</si>
  <si>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</si>
  <si>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</si>
  <si>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</si>
  <si>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</si>
  <si>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</si>
  <si>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</si>
  <si>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</si>
  <si>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</si>
  <si>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</si>
  <si>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</si>
  <si>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</si>
  <si>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</si>
  <si>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</si>
  <si>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</si>
  <si>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</si>
  <si>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</si>
  <si>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</si>
  <si>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</si>
  <si>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</si>
  <si>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</si>
  <si>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</si>
  <si>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</si>
  <si>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</si>
  <si>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</si>
  <si>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</si>
  <si>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</si>
  <si>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</si>
  <si>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</si>
  <si>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</si>
  <si>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</si>
  <si>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</si>
  <si>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</si>
  <si>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</si>
  <si>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</si>
  <si>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</si>
  <si>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</si>
  <si>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</si>
  <si>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</si>
  <si>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</si>
  <si>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</si>
  <si>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</si>
  <si>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</si>
  <si>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</si>
  <si>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</si>
  <si>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</si>
  <si>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</si>
  <si>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</si>
  <si>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</si>
  <si>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</si>
  <si>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</si>
  <si>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</si>
  <si>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</si>
  <si>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</si>
  <si>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</si>
  <si>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</si>
  <si>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</si>
  <si>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</si>
  <si>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</si>
  <si>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</si>
  <si>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</si>
  <si>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</si>
  <si>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</si>
  <si>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</si>
  <si>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</si>
  <si>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</si>
  <si>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</si>
  <si>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</si>
  <si>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</si>
  <si>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</si>
  <si>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</si>
  <si>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</si>
  <si>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</si>
  <si>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</si>
  <si>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</si>
  <si>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</si>
  <si>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</si>
  <si>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</si>
  <si>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</si>
  <si>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</si>
  <si>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</si>
  <si>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</si>
  <si>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</si>
  <si>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</si>
  <si>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</si>
  <si>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</si>
  <si>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</si>
  <si>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</si>
  <si>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</si>
  <si>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</si>
  <si>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</si>
  <si>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</si>
  <si>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</si>
  <si>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</si>
  <si>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</si>
  <si>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</si>
  <si>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</si>
  <si>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</si>
  <si>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</si>
  <si>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</si>
  <si>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</si>
  <si>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</si>
  <si>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</si>
  <si>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</si>
  <si>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</si>
  <si>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</si>
  <si>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</si>
  <si>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</si>
  <si>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</si>
  <si>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</si>
  <si>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</si>
  <si>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</si>
  <si>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</si>
  <si>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</si>
  <si>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</si>
  <si>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</si>
  <si>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</si>
  <si>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</si>
  <si>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</si>
  <si>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</si>
  <si>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</si>
  <si>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</si>
  <si>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</si>
  <si>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</si>
  <si>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</si>
  <si>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</si>
  <si>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</si>
  <si>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</si>
  <si>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</si>
  <si>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</si>
  <si>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</si>
  <si>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</si>
  <si>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</si>
  <si>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</si>
  <si>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</si>
  <si>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</si>
  <si>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</si>
  <si>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</si>
  <si>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</si>
  <si>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</si>
  <si>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</si>
  <si>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</si>
  <si>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</si>
  <si>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</si>
  <si>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</si>
  <si>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</si>
  <si>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</si>
  <si>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</si>
  <si>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</si>
  <si>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</si>
  <si>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</si>
  <si>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</si>
  <si>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</si>
  <si>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</si>
  <si>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</si>
  <si>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</si>
  <si>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</si>
  <si>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</si>
  <si>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</si>
  <si>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</si>
  <si>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</si>
  <si>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</si>
  <si>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</si>
  <si>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</si>
  <si>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</si>
  <si>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</si>
  <si>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</si>
  <si>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</si>
  <si>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</si>
  <si>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</si>
  <si>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</si>
  <si>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</si>
  <si>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</si>
  <si>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</si>
  <si>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</si>
  <si>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</si>
  <si>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</si>
  <si>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</si>
  <si>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</si>
  <si>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</si>
  <si>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</si>
  <si>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</si>
  <si>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</si>
  <si>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</si>
  <si>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</si>
  <si>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</si>
  <si>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</si>
  <si>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</si>
  <si>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</si>
  <si>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</si>
  <si>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</si>
  <si>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</si>
  <si>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</si>
  <si>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</si>
  <si>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</si>
  <si>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</si>
  <si>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</si>
  <si>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</si>
  <si>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</si>
  <si>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</si>
  <si>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</si>
  <si>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</si>
  <si>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</si>
  <si>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</si>
  <si>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</si>
  <si>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</si>
  <si>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</si>
  <si>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</si>
  <si>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</si>
  <si>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</si>
  <si>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</si>
  <si>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</si>
  <si>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</si>
  <si>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</si>
  <si>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</si>
  <si>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</si>
  <si>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</si>
  <si>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</si>
  <si>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</si>
  <si>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</si>
  <si>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</si>
  <si>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</si>
  <si>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</si>
  <si>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</si>
  <si>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</si>
  <si>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</si>
  <si>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</si>
  <si>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</si>
  <si>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</si>
  <si>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</si>
  <si>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</si>
  <si>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</si>
  <si>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</si>
  <si>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</si>
  <si>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</si>
  <si>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</si>
  <si>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</si>
  <si>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</si>
  <si>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</si>
  <si>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</si>
  <si>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</si>
  <si>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</si>
  <si>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</si>
  <si>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</si>
  <si>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</si>
  <si>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</si>
  <si>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</si>
  <si>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</si>
  <si>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</si>
  <si>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</si>
  <si>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</si>
  <si>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</si>
  <si>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</si>
  <si>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</si>
  <si>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</si>
  <si>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</si>
  <si>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</si>
  <si>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</si>
  <si>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</si>
  <si>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</si>
  <si>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</si>
  <si>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</si>
  <si>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</si>
  <si>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</si>
  <si>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</si>
  <si>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</si>
  <si>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</si>
  <si>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</si>
  <si>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</si>
  <si>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</si>
  <si>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</si>
  <si>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</si>
  <si>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</si>
  <si>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</si>
  <si>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</si>
  <si>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</si>
  <si>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</si>
  <si>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</si>
  <si>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</si>
  <si>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</si>
  <si>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</si>
  <si>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</si>
  <si>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</si>
  <si>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</si>
  <si>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</si>
  <si>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</si>
  <si>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</si>
  <si>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</si>
  <si>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</si>
  <si>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</si>
  <si>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</si>
  <si>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</si>
  <si>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</si>
  <si>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</si>
  <si>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</si>
  <si>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</si>
  <si>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</si>
  <si>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</si>
  <si>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</si>
  <si>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</si>
  <si>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</si>
  <si>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</si>
  <si>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</si>
  <si>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</si>
  <si>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</si>
  <si>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</si>
  <si>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</si>
  <si>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</si>
  <si>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</si>
  <si>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</si>
  <si>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</si>
  <si>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</si>
  <si>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</si>
  <si>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</si>
  <si>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</si>
  <si>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</si>
  <si>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</si>
  <si>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</si>
  <si>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</si>
  <si>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</si>
  <si>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</si>
  <si>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</si>
  <si>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</si>
  <si>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</si>
  <si>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</si>
  <si>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</si>
  <si>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</si>
  <si>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</si>
  <si>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</si>
  <si>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</si>
  <si>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</si>
  <si>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</si>
  <si>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</si>
  <si>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</si>
  <si>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</si>
  <si>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</si>
  <si>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</si>
  <si>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</si>
  <si>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</si>
  <si>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</si>
  <si>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</si>
  <si>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</si>
  <si>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</si>
  <si>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</si>
  <si>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</si>
  <si>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</si>
  <si>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</si>
  <si>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</si>
  <si>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</si>
  <si>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</si>
  <si>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</si>
  <si>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</si>
  <si>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</si>
  <si>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</si>
  <si>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</si>
  <si>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</si>
  <si>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</si>
  <si>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</si>
  <si>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</si>
  <si>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</si>
  <si>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</si>
  <si>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</si>
  <si>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</si>
  <si>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</si>
  <si>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</si>
  <si>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</si>
  <si>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</si>
  <si>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</si>
  <si>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</si>
  <si>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</si>
  <si>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</si>
  <si>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</si>
  <si>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</si>
  <si>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</si>
  <si>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</si>
  <si>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</si>
  <si>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</si>
  <si>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</si>
  <si>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</si>
  <si>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</si>
  <si>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</si>
  <si>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</si>
  <si>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</si>
  <si>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</si>
  <si>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</si>
  <si>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</si>
  <si>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</si>
  <si>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</si>
  <si>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</si>
  <si>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</si>
  <si>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</si>
  <si>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</si>
  <si>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</si>
  <si>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</si>
  <si>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</si>
  <si>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</si>
  <si>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</si>
  <si>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</si>
  <si>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</si>
  <si>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</si>
  <si>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</si>
  <si>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</si>
  <si>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</si>
  <si>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</si>
  <si>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</si>
  <si>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</si>
  <si>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</si>
  <si>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</si>
  <si>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</si>
  <si>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</si>
  <si>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</si>
  <si>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</si>
  <si>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</si>
  <si>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</si>
  <si>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</si>
  <si>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</si>
  <si>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</si>
  <si>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</si>
  <si>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</si>
  <si>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</si>
  <si>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</si>
  <si>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</si>
  <si>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</si>
  <si>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</si>
  <si>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</si>
  <si>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</si>
  <si>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</si>
  <si>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</si>
  <si>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</si>
  <si>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</si>
  <si>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</si>
  <si>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</si>
  <si>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</si>
  <si>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</si>
  <si>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</si>
  <si>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</si>
  <si>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</si>
  <si>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</si>
  <si>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</si>
  <si>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</si>
  <si>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</si>
  <si>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</si>
  <si>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</si>
  <si>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</si>
  <si>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</si>
  <si>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</si>
  <si>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</si>
  <si>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</si>
  <si>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</si>
  <si>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</si>
  <si>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</si>
  <si>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</si>
  <si>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</si>
  <si>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</si>
  <si>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</si>
  <si>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</si>
  <si>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</si>
  <si>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</si>
  <si>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</si>
  <si>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</si>
  <si>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</si>
  <si>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</si>
  <si>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</si>
  <si>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</si>
  <si>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</si>
  <si>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</si>
  <si>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</si>
  <si>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</si>
  <si>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</si>
  <si>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</si>
  <si>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</si>
  <si>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</si>
  <si>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</si>
  <si>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</si>
  <si>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</si>
  <si>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</si>
  <si>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</si>
  <si>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</si>
  <si>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</si>
  <si>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</si>
  <si>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</si>
  <si>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</si>
  <si>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</si>
  <si>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</si>
  <si>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</si>
  <si>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</si>
  <si>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</si>
  <si>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</si>
  <si>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</si>
  <si>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</si>
  <si>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</si>
  <si>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</si>
  <si>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</si>
  <si>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</si>
  <si>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</si>
  <si>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</si>
  <si>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</si>
  <si>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</si>
  <si>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</si>
  <si>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</si>
  <si>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</si>
  <si>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</si>
  <si>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</si>
  <si>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</si>
  <si>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</si>
  <si>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</si>
  <si>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</si>
  <si>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</si>
  <si>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</si>
  <si>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</si>
  <si>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</si>
  <si>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</si>
  <si>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</si>
  <si>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</si>
  <si>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</si>
  <si>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</si>
  <si>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</si>
  <si>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</si>
  <si>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</si>
  <si>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</si>
  <si>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</si>
  <si>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</si>
  <si>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</si>
  <si>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</si>
  <si>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</si>
  <si>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</si>
  <si>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</si>
  <si>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</si>
  <si>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</si>
  <si>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</si>
  <si>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</si>
  <si>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</si>
  <si>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</si>
  <si>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</si>
  <si>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</si>
  <si>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</si>
  <si>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</si>
  <si>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</si>
  <si>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</si>
  <si>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</si>
  <si>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</si>
  <si>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</si>
  <si>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</si>
  <si>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</si>
  <si>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</si>
  <si>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</si>
  <si>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</si>
  <si>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</si>
  <si>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</si>
  <si>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</si>
  <si>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</si>
  <si>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</si>
  <si>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</si>
  <si>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</si>
  <si>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</si>
  <si>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</si>
  <si>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</si>
  <si>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</si>
  <si>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</si>
  <si>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</si>
  <si>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</si>
  <si>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</si>
  <si>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</si>
  <si>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</si>
  <si>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</si>
  <si>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</si>
  <si>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</si>
  <si>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</si>
  <si>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</si>
  <si>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</si>
  <si>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</si>
  <si>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</si>
  <si>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</si>
  <si>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</si>
  <si>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</si>
  <si>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</si>
  <si>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</si>
  <si>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</si>
  <si>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</si>
  <si>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</si>
  <si>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</si>
  <si>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</si>
  <si>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</si>
  <si>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</si>
  <si>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</si>
  <si>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</si>
  <si>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</si>
  <si>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</si>
  <si>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</si>
  <si>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</si>
  <si>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</si>
  <si>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</si>
  <si>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</si>
  <si>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</si>
  <si>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</si>
  <si>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</si>
  <si>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</si>
  <si>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</si>
  <si>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</si>
  <si>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</si>
  <si>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</si>
  <si>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</si>
  <si>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</si>
  <si>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</si>
  <si>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</si>
  <si>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</si>
  <si>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</si>
  <si>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</si>
  <si>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</si>
  <si>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</si>
  <si>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</si>
  <si>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</si>
  <si>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</si>
  <si>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</si>
  <si>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</si>
  <si>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</si>
  <si>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</si>
  <si>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</si>
  <si>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</si>
  <si>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</si>
  <si>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</si>
  <si>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</si>
  <si>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</si>
  <si>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</si>
  <si>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</si>
  <si>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</si>
  <si>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</si>
  <si>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</si>
  <si>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</si>
  <si>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</si>
  <si>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</si>
  <si>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</si>
  <si>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</si>
  <si>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</si>
  <si>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</si>
  <si>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</si>
  <si>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</si>
  <si>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</si>
  <si>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</si>
  <si>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</si>
  <si>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</si>
  <si>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</si>
  <si>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</si>
  <si>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</si>
  <si>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</si>
  <si>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</si>
  <si>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</si>
  <si>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</si>
  <si>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</si>
  <si>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</si>
  <si>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</si>
  <si>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</si>
  <si>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</si>
  <si>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</si>
  <si>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</si>
  <si>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</si>
  <si>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</si>
  <si>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</si>
  <si>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</si>
  <si>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</si>
  <si>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</si>
  <si>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</si>
  <si>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</si>
  <si>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</si>
  <si>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</si>
  <si>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</si>
  <si>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</si>
  <si>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</si>
  <si>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</si>
  <si>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</si>
  <si>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</si>
  <si>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</si>
  <si>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</si>
  <si>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</si>
  <si>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</si>
  <si>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</si>
  <si>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</si>
  <si>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</si>
  <si>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</si>
  <si>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</si>
  <si>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</si>
  <si>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</si>
  <si>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</si>
  <si>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</si>
  <si>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</si>
  <si>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</si>
  <si>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</si>
  <si>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</si>
  <si>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</si>
  <si>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</si>
  <si>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</si>
  <si>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</si>
  <si>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</si>
  <si>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</si>
  <si>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</si>
  <si>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</si>
  <si>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</si>
  <si>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</si>
  <si>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</si>
  <si>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</si>
  <si>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</si>
  <si>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</si>
  <si>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</si>
  <si>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</si>
  <si>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</si>
  <si>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</si>
  <si>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</si>
  <si>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</si>
  <si>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</si>
  <si>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</si>
  <si>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</si>
  <si>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</si>
  <si>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</si>
  <si>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</si>
  <si>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</si>
  <si>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</si>
  <si>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</si>
  <si>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</si>
  <si>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</si>
  <si>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</si>
  <si>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</si>
  <si>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</si>
  <si>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</si>
  <si>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</si>
  <si>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</si>
  <si>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</si>
  <si>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</si>
  <si>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</si>
  <si>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</si>
  <si>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</si>
  <si>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</si>
  <si>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</si>
  <si>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</si>
  <si>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</si>
  <si>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</si>
  <si>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</si>
  <si>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</si>
  <si>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</si>
  <si>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</si>
  <si>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</si>
  <si>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</si>
  <si>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</si>
  <si>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</si>
  <si>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</si>
  <si>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</si>
  <si>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</si>
  <si>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</si>
  <si>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</si>
  <si>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</si>
  <si>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</si>
  <si>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</si>
  <si>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</si>
  <si>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</si>
  <si>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</si>
  <si>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</si>
  <si>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</si>
  <si>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</si>
  <si>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</si>
  <si>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</si>
  <si>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</si>
  <si>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</si>
  <si>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</si>
  <si>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</si>
  <si>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</si>
  <si>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</si>
  <si>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</si>
  <si>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</si>
  <si>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</si>
  <si>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</si>
  <si>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</si>
  <si>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</si>
  <si>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</si>
  <si>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</si>
  <si>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</si>
  <si>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</si>
  <si>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</si>
  <si>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</si>
  <si>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</si>
  <si>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</si>
  <si>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</si>
  <si>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</si>
  <si>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</si>
  <si>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</si>
  <si>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</si>
  <si>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</si>
  <si>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</si>
  <si>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</si>
  <si>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</si>
  <si>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</si>
  <si>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</si>
  <si>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</si>
  <si>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</si>
  <si>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</si>
  <si>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</si>
  <si>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</si>
  <si>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</si>
  <si>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</si>
  <si>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</si>
  <si>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</si>
  <si>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</si>
  <si>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</si>
  <si>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</si>
  <si>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</si>
  <si>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</si>
  <si>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</si>
  <si>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</si>
  <si>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</si>
  <si>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</si>
  <si>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</si>
  <si>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</si>
  <si>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</si>
  <si>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</si>
  <si>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</si>
  <si>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</si>
  <si>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</si>
  <si>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</si>
  <si>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</si>
  <si>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</si>
  <si>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</si>
  <si>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</si>
  <si>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</si>
  <si>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</si>
  <si>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</si>
  <si>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</si>
  <si>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</si>
  <si>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</si>
  <si>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</si>
  <si>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</si>
  <si>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</si>
  <si>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</si>
  <si>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</si>
  <si>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</si>
  <si>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</si>
  <si>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</si>
  <si>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</si>
  <si>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</si>
  <si>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</si>
  <si>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</si>
  <si>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</si>
  <si>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</si>
  <si>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</si>
  <si>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</si>
  <si>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</si>
  <si>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</si>
  <si>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</si>
  <si>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</si>
  <si>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</si>
  <si>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</si>
  <si>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</si>
  <si>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</si>
  <si>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</si>
  <si>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</si>
  <si>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</si>
  <si>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</si>
  <si>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</si>
  <si>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</si>
  <si>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</si>
  <si>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</si>
  <si>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</si>
  <si>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</si>
  <si>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</si>
  <si>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</si>
  <si>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</si>
  <si>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</si>
  <si>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</si>
  <si>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</si>
  <si>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</si>
  <si>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</si>
  <si>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</si>
  <si>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</si>
  <si>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</si>
  <si>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</si>
  <si>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</si>
  <si>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</si>
  <si>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</si>
  <si>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</si>
  <si>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</si>
  <si>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</si>
  <si>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</si>
  <si>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</si>
  <si>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</si>
  <si>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</si>
  <si>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</si>
  <si>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</si>
  <si>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</si>
  <si>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</si>
  <si>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</si>
  <si>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</si>
  <si>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</si>
  <si>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</si>
  <si>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</si>
  <si>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</si>
  <si>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</si>
  <si>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</si>
  <si>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</si>
  <si>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</si>
  <si>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</si>
  <si>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</si>
  <si>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</si>
  <si>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</si>
  <si>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</si>
  <si>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</si>
  <si>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</si>
  <si>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</si>
  <si>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</si>
  <si>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</si>
  <si>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</si>
  <si>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</si>
  <si>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</si>
  <si>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</si>
  <si>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</si>
  <si>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</si>
  <si>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</si>
  <si>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</si>
  <si>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</si>
  <si>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</si>
  <si>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</si>
  <si>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</si>
  <si>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</si>
  <si>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</si>
  <si>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</si>
  <si>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</si>
  <si>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</si>
  <si>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</si>
  <si>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</si>
  <si>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</si>
  <si>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</si>
  <si>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</si>
  <si>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</si>
  <si>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</si>
  <si>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</si>
  <si>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</si>
  <si>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</si>
  <si>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</si>
  <si>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</si>
  <si>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</si>
  <si>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</si>
  <si>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</si>
  <si>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</si>
  <si>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</si>
  <si>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</si>
  <si>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</si>
  <si>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</si>
  <si>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</si>
  <si>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</si>
  <si>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</si>
  <si>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</si>
  <si>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</si>
  <si>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</si>
  <si>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</si>
  <si>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</si>
  <si>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</si>
  <si>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</si>
  <si>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</si>
  <si>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</si>
  <si>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</si>
  <si>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</si>
  <si>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</si>
  <si>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</si>
  <si>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</si>
  <si>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</si>
  <si>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</si>
  <si>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</si>
  <si>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</si>
  <si>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</si>
  <si>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</si>
  <si>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</si>
  <si>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</si>
  <si>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</si>
  <si>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</si>
  <si>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</si>
  <si>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</si>
  <si>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</si>
  <si>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</si>
  <si>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</si>
  <si>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</si>
  <si>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</si>
  <si>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</si>
  <si>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</si>
  <si>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</si>
  <si>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</si>
  <si>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</si>
  <si>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</si>
  <si>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</si>
  <si>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</si>
  <si>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</si>
  <si>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</si>
  <si>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</si>
  <si>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</si>
  <si>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</si>
  <si>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</si>
  <si>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</si>
  <si>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</si>
  <si>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</si>
  <si>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</si>
  <si>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</si>
  <si>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</si>
  <si>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</si>
  <si>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</si>
  <si>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</si>
  <si>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</si>
  <si>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</si>
  <si>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</si>
  <si>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</si>
  <si>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</si>
  <si>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</si>
  <si>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</si>
  <si>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</si>
  <si>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</si>
  <si>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</si>
  <si>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</si>
  <si>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</si>
  <si>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</si>
  <si>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</si>
  <si>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</si>
  <si>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</si>
  <si>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</si>
  <si>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</si>
  <si>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</si>
  <si>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</si>
  <si>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</si>
  <si>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</si>
  <si>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</si>
  <si>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</si>
  <si>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</si>
  <si>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</si>
  <si>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</si>
  <si>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</si>
  <si>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</si>
  <si>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</si>
  <si>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</si>
  <si>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</si>
  <si>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</si>
  <si>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</si>
  <si>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</si>
  <si>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</si>
  <si>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</si>
  <si>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</si>
  <si>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</si>
  <si>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</si>
  <si>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</si>
  <si>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</si>
  <si>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</si>
  <si>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</si>
  <si>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</si>
  <si>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</si>
  <si>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</si>
  <si>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</si>
  <si>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</si>
  <si>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</si>
  <si>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</si>
  <si>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</si>
  <si>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</si>
  <si>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</si>
  <si>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</si>
  <si>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</si>
  <si>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</si>
  <si>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</si>
  <si>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</si>
  <si>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</si>
  <si>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</si>
  <si>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</si>
  <si>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</si>
  <si>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</si>
  <si>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</si>
  <si>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</si>
  <si>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</si>
  <si>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</si>
  <si>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</si>
  <si>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</si>
  <si>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</si>
  <si>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</si>
  <si>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</si>
  <si>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</si>
  <si>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</si>
  <si>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</si>
  <si>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</si>
  <si>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</si>
  <si>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</si>
  <si>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</si>
  <si>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</si>
  <si>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</si>
  <si>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</si>
  <si>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</si>
  <si>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</si>
  <si>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</si>
  <si>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</si>
  <si>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</si>
  <si>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</si>
  <si>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</si>
  <si>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</si>
  <si>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</si>
  <si>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</si>
  <si>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</si>
  <si>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</si>
  <si>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</si>
  <si>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</si>
  <si>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</si>
  <si>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</si>
  <si>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</si>
  <si>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</si>
  <si>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</si>
  <si>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</si>
  <si>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</si>
  <si>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</si>
  <si>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</si>
  <si>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</si>
  <si>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</si>
  <si>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</si>
  <si>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</si>
  <si>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</si>
  <si>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</si>
  <si>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</si>
  <si>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</si>
  <si>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</si>
  <si>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</si>
  <si>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</si>
  <si>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</si>
  <si>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</si>
  <si>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</si>
  <si>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</si>
  <si>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</si>
  <si>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</si>
  <si>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</si>
  <si>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</si>
  <si>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</si>
  <si>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</si>
  <si>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</si>
  <si>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</si>
  <si>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</si>
  <si>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</si>
  <si>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</si>
  <si>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</si>
  <si>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</si>
  <si>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</si>
  <si>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</si>
  <si>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</si>
  <si>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</si>
  <si>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</si>
  <si>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</si>
  <si>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</si>
  <si>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</si>
  <si>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</si>
  <si>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</si>
  <si>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</si>
  <si>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</si>
  <si>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</si>
  <si>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</si>
  <si>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</si>
  <si>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</si>
  <si>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</si>
  <si>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</si>
  <si>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</si>
  <si>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</si>
  <si>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</si>
  <si>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</si>
  <si>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</si>
  <si>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</si>
  <si>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</si>
  <si>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</si>
  <si>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</si>
  <si>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</si>
  <si>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</si>
  <si>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</si>
  <si>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</si>
  <si>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</si>
  <si>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</si>
  <si>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</si>
  <si>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</si>
  <si>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</si>
  <si>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</si>
  <si>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</si>
  <si>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</si>
  <si>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</si>
  <si>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</si>
  <si>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</si>
  <si>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</si>
  <si>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</si>
  <si>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</si>
  <si>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</si>
  <si>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</si>
  <si>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</si>
  <si>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</si>
  <si>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</si>
  <si>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</si>
  <si>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</si>
  <si>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</si>
  <si>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</si>
  <si>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</si>
  <si>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</si>
  <si>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</si>
  <si>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</si>
  <si>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</si>
  <si>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</si>
  <si>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</si>
  <si>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</si>
  <si>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</si>
  <si>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</si>
  <si>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</si>
  <si>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</si>
  <si>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</si>
  <si>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</si>
  <si>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</si>
  <si>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</si>
  <si>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</si>
  <si>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</si>
  <si>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</si>
  <si>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</si>
  <si>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</si>
  <si>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</si>
  <si>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</si>
  <si>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</si>
  <si>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</si>
  <si>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</si>
  <si>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</si>
  <si>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</si>
  <si>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</si>
  <si>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</si>
  <si>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</si>
  <si>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</si>
  <si>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</si>
  <si>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</si>
  <si>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</si>
  <si>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</si>
  <si>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</si>
  <si>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</si>
  <si>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</si>
  <si>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</si>
  <si>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</si>
  <si>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</si>
  <si>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</si>
  <si>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</si>
  <si>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</si>
  <si>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</si>
  <si>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</si>
  <si>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</si>
  <si>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</si>
  <si>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</si>
  <si>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</si>
  <si>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</si>
  <si>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</si>
  <si>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</si>
  <si>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</si>
  <si>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</si>
  <si>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</si>
  <si>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</si>
  <si>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</si>
  <si>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</si>
  <si>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</si>
  <si>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</si>
  <si>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</si>
  <si>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</si>
  <si>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</si>
  <si>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</si>
  <si>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</si>
  <si>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</si>
  <si>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</si>
  <si>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</si>
  <si>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</si>
  <si>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</si>
  <si>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</si>
  <si>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</si>
  <si>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</si>
  <si>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</si>
  <si>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</si>
  <si>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</si>
  <si>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</si>
  <si>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</si>
  <si>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</si>
  <si>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</si>
  <si>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</si>
  <si>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</si>
  <si>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</si>
  <si>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</si>
  <si>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</si>
  <si>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</si>
  <si>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</si>
  <si>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</si>
  <si>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</si>
  <si>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</si>
  <si>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</si>
  <si>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</si>
  <si>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</si>
  <si>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</si>
  <si>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</si>
  <si>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</si>
  <si>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</si>
  <si>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</si>
  <si>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</si>
  <si>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</si>
  <si>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</si>
  <si>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</si>
  <si>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</si>
  <si>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</si>
  <si>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</si>
  <si>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</si>
  <si>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</si>
  <si>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</si>
  <si>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</si>
  <si>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</si>
  <si>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</si>
  <si>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</si>
  <si>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</si>
  <si>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</si>
  <si>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</si>
  <si>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</si>
  <si>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</si>
  <si>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</si>
  <si>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</si>
  <si>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</si>
  <si>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</si>
  <si>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</si>
  <si>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</si>
  <si>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</si>
  <si>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</si>
  <si>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</si>
  <si>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</si>
  <si>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</si>
  <si>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</si>
  <si>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</si>
  <si>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</si>
  <si>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</si>
  <si>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</si>
  <si>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</si>
  <si>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</si>
  <si>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</si>
  <si>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</si>
  <si>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</si>
  <si>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</si>
  <si>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</si>
  <si>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</si>
  <si>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</si>
  <si>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</si>
  <si>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</si>
  <si>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</si>
  <si>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</si>
  <si>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</si>
  <si>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</si>
  <si>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</si>
  <si>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</si>
  <si>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</si>
  <si>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</si>
  <si>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</si>
  <si>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</si>
  <si>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</si>
  <si>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</si>
  <si>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</si>
  <si>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</si>
  <si>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</si>
  <si>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</si>
  <si>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</si>
  <si>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</si>
  <si>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</si>
  <si>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</si>
  <si>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</si>
  <si>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</si>
  <si>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</si>
  <si>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</si>
  <si>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</si>
  <si>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</si>
  <si>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</si>
  <si>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</si>
  <si>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</si>
  <si>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</si>
  <si>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</si>
  <si>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</si>
  <si>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</si>
  <si>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</si>
  <si>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</si>
  <si>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</si>
  <si>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</si>
  <si>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</si>
  <si>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</si>
  <si>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</si>
  <si>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</si>
  <si>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</si>
  <si>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</si>
  <si>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</si>
  <si>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</si>
  <si>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</si>
  <si>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</si>
  <si>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</si>
  <si>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</si>
  <si>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</si>
  <si>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</si>
  <si>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</si>
  <si>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</si>
  <si>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</si>
  <si>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</si>
  <si>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</si>
  <si>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</si>
  <si>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</si>
  <si>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</si>
  <si>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</si>
  <si>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</si>
  <si>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</si>
  <si>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</si>
  <si>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</si>
  <si>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</si>
  <si>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</si>
  <si>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</si>
  <si>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</si>
  <si>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</si>
  <si>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</si>
  <si>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</si>
  <si>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</si>
  <si>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</si>
  <si>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</si>
  <si>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</si>
  <si>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</si>
  <si>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</si>
  <si>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</si>
  <si>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</si>
  <si>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</si>
  <si>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</si>
  <si>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</si>
  <si>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</si>
  <si>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</si>
  <si>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</si>
  <si>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</si>
  <si>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</si>
  <si>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</si>
  <si>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</si>
  <si>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</si>
  <si>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</si>
  <si>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</si>
  <si>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</si>
  <si>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</si>
  <si>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</si>
  <si>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</si>
  <si>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</si>
  <si>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</si>
  <si>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</si>
  <si>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</si>
  <si>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</si>
  <si>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</si>
  <si>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</si>
  <si>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</si>
  <si>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</si>
  <si>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</si>
  <si>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</si>
  <si>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</si>
  <si>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</si>
  <si>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</si>
  <si>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</si>
  <si>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</si>
  <si>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</si>
  <si>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</si>
  <si>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</si>
  <si>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</si>
  <si>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</si>
  <si>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</si>
  <si>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</si>
  <si>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</si>
  <si>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</si>
  <si>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</si>
  <si>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</si>
  <si>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</si>
  <si>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</si>
  <si>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</si>
  <si>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</si>
  <si>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</si>
  <si>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</si>
  <si>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</si>
  <si>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</si>
  <si>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</si>
  <si>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</si>
  <si>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</si>
  <si>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</si>
  <si>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</si>
  <si>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</si>
  <si>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</si>
  <si>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</si>
  <si>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</si>
  <si>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</si>
  <si>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</si>
  <si>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</si>
  <si>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</si>
  <si>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</si>
  <si>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</si>
  <si>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</si>
  <si>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</si>
  <si>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</si>
  <si>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</si>
  <si>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</si>
  <si>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</si>
  <si>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</si>
  <si>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</si>
  <si>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</si>
  <si>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</si>
  <si>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</si>
  <si>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</si>
  <si>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</si>
  <si>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</si>
  <si>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</si>
  <si>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</si>
  <si>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</si>
  <si>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</si>
  <si>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</si>
  <si>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</si>
  <si>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</si>
  <si>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</si>
  <si>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</si>
  <si>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</si>
  <si>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</si>
  <si>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</si>
  <si>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</si>
  <si>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</si>
  <si>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</si>
  <si>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</si>
  <si>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</si>
  <si>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</si>
  <si>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</si>
  <si>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</si>
  <si>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</si>
  <si>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</si>
  <si>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</si>
  <si>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</si>
  <si>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</si>
  <si>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</si>
  <si>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</si>
  <si>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</si>
  <si>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</si>
  <si>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</si>
  <si>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</si>
  <si>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</si>
  <si>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</si>
  <si>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</si>
  <si>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</si>
  <si>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</si>
  <si>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</si>
  <si>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</si>
  <si>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</si>
  <si>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</si>
  <si>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</si>
  <si>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</si>
  <si>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</si>
  <si>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</si>
  <si>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</si>
  <si>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</si>
  <si>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</si>
  <si>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</si>
  <si>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</si>
  <si>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</si>
  <si>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</si>
  <si>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</si>
  <si>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</si>
  <si>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</si>
  <si>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</si>
  <si>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</si>
  <si>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</si>
  <si>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</si>
  <si>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</si>
  <si>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</si>
  <si>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</si>
  <si>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</si>
  <si>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</si>
  <si>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</si>
  <si>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</si>
  <si>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</si>
  <si>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</si>
  <si>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</si>
  <si>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</si>
  <si>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</si>
  <si>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</si>
  <si>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</si>
  <si>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</si>
  <si>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</si>
  <si>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</si>
  <si>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</si>
  <si>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</si>
  <si>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</si>
  <si>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</si>
  <si>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</si>
  <si>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</si>
  <si>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</si>
  <si>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</si>
  <si>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</si>
  <si>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</si>
  <si>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</si>
  <si>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</si>
  <si>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</si>
  <si>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</si>
  <si>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</si>
  <si>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</si>
  <si>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</si>
  <si>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</si>
  <si>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</si>
  <si>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</si>
  <si>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</si>
  <si>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</si>
  <si>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</si>
  <si>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</si>
  <si>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</si>
  <si>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</si>
  <si>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</si>
  <si>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</si>
  <si>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</si>
  <si>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</si>
  <si>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</si>
  <si>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</si>
  <si>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</si>
  <si>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</si>
  <si>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</si>
  <si>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</si>
  <si>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</si>
  <si>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</si>
  <si>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</si>
  <si>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</si>
  <si>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</si>
  <si>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</si>
  <si>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</si>
  <si>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</si>
  <si>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</si>
  <si>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</si>
  <si>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</si>
  <si>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</si>
  <si>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</si>
  <si>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</si>
  <si>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</si>
  <si>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</si>
  <si>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</si>
  <si>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</si>
  <si>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</si>
  <si>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</si>
  <si>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</si>
  <si>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</si>
  <si>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</si>
  <si>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</si>
  <si>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</si>
  <si>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</si>
  <si>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</si>
  <si>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</si>
  <si>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</si>
  <si>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</si>
  <si>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</si>
  <si>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</si>
  <si>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</si>
  <si>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</si>
  <si>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</si>
  <si>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</si>
  <si>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</si>
  <si>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</si>
  <si>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</si>
  <si>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</si>
  <si>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</si>
  <si>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</si>
  <si>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</si>
  <si>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</si>
  <si>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</si>
  <si>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</si>
  <si>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</si>
  <si>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</si>
  <si>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</si>
  <si>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</si>
  <si>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</si>
  <si>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</si>
  <si>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</si>
  <si>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</si>
  <si>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</si>
  <si>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</si>
  <si>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</si>
  <si>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</si>
  <si>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</si>
  <si>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</si>
  <si>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</si>
  <si>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</si>
  <si>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</si>
  <si>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</si>
  <si>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</si>
  <si>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</si>
  <si>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</si>
  <si>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</si>
  <si>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</si>
  <si>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</si>
  <si>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</si>
  <si>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</si>
  <si>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</si>
  <si>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</si>
  <si>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</si>
  <si>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</si>
  <si>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</si>
  <si>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</si>
  <si>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</si>
  <si>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</si>
  <si>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</si>
  <si>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</si>
  <si>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</si>
  <si>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</si>
  <si>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</si>
  <si>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</si>
  <si>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</si>
  <si>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</si>
  <si>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</si>
  <si>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</si>
  <si>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</si>
  <si>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</si>
  <si>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</si>
  <si>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</si>
  <si>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</si>
  <si>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</si>
  <si>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</si>
  <si>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</si>
  <si>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</si>
  <si>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</si>
  <si>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</si>
  <si>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</si>
  <si>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</si>
  <si>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</si>
  <si>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</si>
  <si>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</si>
  <si>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</si>
  <si>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</si>
  <si>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</si>
  <si>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</si>
  <si>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</si>
  <si>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</si>
  <si>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</si>
  <si>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</si>
  <si>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</si>
  <si>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</si>
  <si>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</si>
  <si>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</si>
  <si>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</si>
  <si>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</si>
  <si>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</si>
  <si>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</si>
  <si>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</si>
  <si>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</si>
  <si>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</si>
  <si>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</si>
  <si>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</si>
  <si>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</si>
  <si>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</si>
  <si>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</si>
  <si>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</si>
  <si>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</si>
  <si>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</si>
  <si>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</si>
  <si>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</si>
  <si>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</si>
  <si>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</si>
  <si>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</si>
  <si>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</si>
  <si>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</si>
  <si>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</si>
  <si>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</si>
  <si>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</si>
  <si>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</si>
  <si>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</si>
  <si>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</si>
  <si>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</si>
  <si>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</si>
  <si>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</si>
  <si>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</si>
  <si>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</si>
  <si>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</si>
  <si>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</si>
  <si>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</si>
  <si>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</si>
  <si>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</si>
  <si>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</si>
  <si>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</si>
  <si>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</si>
  <si>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</si>
  <si>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</si>
  <si>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</si>
  <si>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</si>
  <si>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</si>
  <si>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</si>
  <si>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</si>
  <si>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</si>
  <si>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</si>
  <si>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</si>
  <si>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</si>
  <si>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</si>
  <si>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</si>
  <si>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</si>
  <si>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</si>
  <si>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</si>
  <si>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</si>
  <si>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</si>
  <si>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</si>
  <si>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</si>
  <si>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</si>
  <si>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</si>
  <si>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</si>
  <si>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</si>
  <si>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</si>
  <si>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</si>
  <si>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</si>
  <si>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</si>
  <si>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</si>
  <si>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</si>
  <si>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</si>
  <si>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</si>
  <si>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</si>
  <si>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</si>
  <si>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</si>
  <si>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</si>
  <si>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</si>
  <si>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</si>
  <si>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</si>
  <si>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</si>
  <si>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</si>
  <si>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</si>
  <si>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</si>
  <si>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</si>
  <si>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</si>
  <si>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</si>
  <si>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</si>
  <si>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</si>
  <si>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</si>
  <si>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</si>
  <si>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</si>
  <si>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</si>
  <si>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</si>
  <si>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</si>
  <si>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</si>
  <si>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</si>
  <si>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</si>
  <si>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</si>
  <si>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</si>
  <si>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</si>
  <si>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</si>
  <si>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</si>
  <si>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</si>
  <si>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</si>
  <si>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</si>
  <si>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</si>
  <si>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</si>
  <si>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</si>
  <si>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</si>
  <si>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</si>
  <si>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</si>
  <si>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</si>
  <si>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</si>
  <si>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</si>
  <si>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</si>
  <si>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</si>
  <si>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</si>
  <si>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</si>
  <si>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</si>
  <si>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</si>
  <si>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</si>
  <si>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</si>
  <si>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</si>
  <si>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</si>
  <si>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</si>
  <si>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</si>
  <si>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</si>
  <si>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</si>
  <si>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</si>
  <si>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</si>
  <si>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</si>
  <si>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</si>
  <si>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</si>
  <si>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</si>
  <si>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</si>
  <si>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</si>
  <si>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</si>
  <si>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</si>
  <si>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</si>
  <si>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</si>
  <si>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</si>
  <si>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</si>
  <si>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</si>
  <si>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</si>
  <si>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</si>
  <si>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</si>
  <si>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</si>
  <si>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</si>
  <si>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</si>
  <si>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</si>
  <si>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</si>
  <si>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</si>
  <si>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</si>
  <si>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</si>
  <si>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</si>
  <si>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</si>
  <si>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</si>
  <si>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</si>
  <si>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</si>
  <si>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</si>
  <si>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</si>
  <si>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</si>
  <si>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</si>
  <si>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</si>
  <si>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</si>
  <si>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</si>
  <si>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</si>
  <si>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</si>
  <si>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</si>
  <si>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</si>
  <si>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</si>
  <si>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</si>
  <si>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</si>
  <si>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</si>
  <si>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</si>
  <si>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</si>
  <si>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</si>
  <si>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</si>
  <si>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</si>
  <si>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</si>
  <si>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</si>
  <si>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</si>
  <si>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</si>
  <si>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</si>
  <si>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</si>
  <si>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</si>
  <si>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</si>
  <si>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</si>
  <si>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</si>
  <si>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</si>
  <si>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</si>
  <si>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</si>
  <si>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</si>
  <si>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</si>
  <si>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</si>
  <si>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</si>
  <si>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</si>
  <si>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</si>
  <si>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</si>
  <si>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</si>
  <si>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</si>
  <si>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</si>
  <si>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</si>
  <si>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</si>
  <si>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</si>
  <si>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</si>
  <si>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</si>
  <si>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</si>
  <si>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</si>
  <si>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</si>
  <si>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</si>
  <si>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</si>
  <si>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</si>
  <si>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</si>
  <si>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</si>
  <si>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</si>
  <si>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</si>
  <si>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</si>
  <si>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</si>
  <si>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</si>
  <si>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</si>
  <si>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</si>
  <si>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</si>
  <si>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</si>
  <si>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</si>
  <si>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</si>
  <si>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</si>
  <si>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</si>
  <si>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</si>
  <si>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</si>
  <si>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</si>
  <si>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</si>
  <si>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</si>
  <si>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</si>
  <si>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</si>
  <si>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</si>
  <si>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</si>
  <si>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</si>
  <si>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</si>
  <si>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</si>
  <si>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</si>
  <si>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</si>
  <si>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</si>
  <si>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</si>
  <si>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</si>
  <si>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</si>
  <si>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</si>
  <si>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</si>
  <si>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</si>
  <si>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</si>
  <si>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</si>
  <si>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</si>
  <si>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</si>
  <si>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</si>
  <si>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</si>
  <si>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</si>
  <si>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</si>
  <si>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</si>
  <si>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</si>
  <si>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</si>
  <si>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</si>
  <si>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</si>
  <si>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</si>
  <si>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</si>
  <si>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</si>
  <si>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</si>
  <si>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</si>
  <si>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</si>
  <si>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</si>
  <si>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</si>
  <si>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</si>
  <si>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</si>
  <si>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</si>
  <si>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</si>
  <si>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</si>
  <si>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</si>
  <si>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</si>
  <si>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</si>
  <si>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</si>
  <si>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</si>
  <si>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</si>
  <si>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</si>
  <si>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</si>
  <si>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</si>
  <si>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</si>
  <si>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</si>
  <si>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</si>
  <si>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</si>
  <si>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</si>
  <si>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</si>
  <si>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</si>
  <si>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</si>
  <si>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</si>
  <si>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</si>
  <si>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</si>
  <si>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</si>
  <si>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</si>
  <si>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</si>
  <si>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</si>
  <si>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</si>
  <si>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</si>
  <si>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</si>
  <si>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</si>
  <si>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</si>
  <si>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</si>
  <si>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</si>
  <si>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</si>
  <si>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</si>
  <si>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</si>
  <si>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</si>
  <si>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</si>
  <si>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</si>
  <si>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</si>
  <si>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</si>
  <si>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</si>
  <si>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</si>
  <si>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</si>
  <si>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</si>
  <si>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</si>
  <si>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</si>
  <si>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</si>
  <si>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</si>
  <si>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</si>
  <si>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</si>
  <si>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</si>
  <si>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</si>
  <si>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</si>
  <si>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</si>
  <si>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</si>
  <si>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</si>
  <si>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</si>
  <si>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</si>
  <si>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</si>
  <si>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</si>
  <si>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</si>
  <si>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</si>
  <si>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</si>
  <si>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</si>
  <si>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</si>
  <si>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</si>
  <si>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</si>
  <si>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</si>
  <si>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</si>
  <si>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</si>
  <si>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</si>
  <si>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</si>
  <si>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</si>
  <si>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</si>
  <si>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</si>
  <si>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</si>
  <si>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</si>
  <si>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</si>
  <si>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</si>
  <si>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</si>
  <si>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</si>
  <si>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</si>
  <si>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</si>
  <si>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</si>
  <si>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</si>
  <si>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</si>
  <si>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</si>
  <si>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</si>
  <si>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</si>
  <si>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</si>
  <si>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</si>
  <si>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</si>
  <si>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</si>
  <si>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</si>
  <si>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</si>
  <si>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</si>
  <si>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</si>
  <si>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</si>
  <si>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</si>
  <si>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</si>
  <si>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</si>
  <si>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</si>
  <si>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</si>
  <si>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</si>
  <si>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</si>
  <si>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</si>
  <si>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</si>
  <si>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</si>
  <si>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</si>
  <si>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</si>
  <si>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</si>
  <si>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</si>
  <si>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</si>
  <si>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</si>
  <si>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</si>
  <si>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</si>
  <si>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</si>
  <si>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</si>
  <si>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</si>
  <si>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</si>
  <si>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</si>
  <si>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</si>
  <si>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</si>
  <si>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</si>
  <si>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</si>
  <si>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</si>
  <si>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</si>
  <si>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</si>
  <si>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</si>
  <si>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</si>
  <si>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</si>
  <si>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</si>
  <si>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</si>
  <si>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</si>
  <si>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</si>
  <si>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</si>
  <si>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</si>
  <si>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</si>
  <si>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</si>
  <si>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</si>
  <si>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</si>
  <si>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</si>
  <si>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</si>
  <si>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</si>
  <si>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</si>
  <si>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</si>
  <si>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</si>
  <si>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</si>
  <si>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</si>
  <si>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</si>
  <si>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</si>
  <si>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</si>
  <si>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</si>
  <si>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</si>
  <si>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</si>
  <si>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</si>
  <si>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</si>
  <si>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</si>
  <si>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</si>
  <si>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</si>
  <si>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</si>
  <si>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</si>
  <si>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</si>
  <si>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</si>
  <si>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</si>
  <si>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</si>
  <si>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</si>
  <si>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</si>
  <si>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</si>
  <si>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</si>
  <si>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</si>
  <si>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</si>
  <si>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</si>
  <si>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</si>
  <si>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</si>
  <si>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</si>
  <si>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</si>
  <si>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</si>
  <si>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</si>
  <si>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</si>
  <si>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</si>
  <si>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</si>
  <si>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</si>
  <si>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</si>
  <si>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</si>
  <si>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</si>
  <si>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</si>
  <si>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</si>
  <si>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</si>
  <si>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</si>
  <si>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</si>
  <si>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</si>
  <si>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</si>
  <si>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</si>
  <si>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</si>
  <si>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</si>
  <si>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</si>
  <si>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</si>
  <si>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</si>
  <si>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</si>
  <si>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</si>
  <si>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</si>
  <si>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</si>
  <si>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</si>
  <si>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</si>
  <si>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</si>
  <si>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</si>
  <si>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</si>
  <si>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</si>
  <si>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</si>
  <si>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</si>
  <si>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</si>
  <si>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</si>
  <si>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</si>
  <si>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</si>
  <si>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</si>
  <si>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</si>
  <si>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</si>
  <si>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</si>
  <si>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</si>
  <si>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</si>
  <si>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</si>
  <si>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</si>
  <si>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</si>
  <si>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</si>
  <si>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</si>
  <si>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</si>
  <si>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</si>
  <si>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</si>
  <si>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</si>
  <si>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</si>
  <si>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</si>
  <si>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</si>
  <si>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</si>
  <si>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</si>
  <si>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</si>
  <si>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</si>
  <si>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</si>
  <si>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</si>
  <si>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</si>
  <si>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</si>
  <si>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</si>
  <si>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</si>
  <si>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</si>
  <si>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</si>
  <si>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</si>
  <si>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</si>
  <si>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</si>
  <si>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</si>
  <si>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</si>
  <si>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</si>
  <si>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</si>
  <si>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</si>
  <si>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</si>
  <si>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</si>
  <si>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</si>
  <si>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</si>
  <si>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</si>
  <si>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</si>
  <si>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</si>
  <si>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</si>
  <si>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</si>
  <si>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</si>
  <si>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</si>
  <si>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</si>
  <si>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</si>
  <si>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</si>
  <si>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</si>
  <si>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</si>
  <si>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</si>
  <si>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</si>
  <si>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</si>
  <si>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</si>
  <si>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</si>
  <si>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</si>
  <si>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</si>
  <si>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</si>
  <si>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</si>
  <si>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</si>
  <si>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</si>
  <si>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</si>
  <si>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</si>
  <si>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</si>
  <si>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</si>
  <si>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</si>
  <si>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</si>
  <si>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</si>
  <si>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</si>
  <si>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</si>
  <si>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</si>
  <si>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</si>
  <si>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</si>
  <si>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</si>
  <si>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</si>
  <si>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</si>
  <si>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</si>
  <si>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</si>
  <si>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</si>
  <si>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</si>
  <si>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</si>
  <si>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</si>
  <si>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</si>
  <si>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</si>
  <si>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</si>
  <si>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</si>
  <si>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</si>
  <si>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</si>
  <si>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</si>
  <si>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</si>
  <si>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</si>
  <si>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</si>
  <si>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</si>
  <si>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</si>
  <si>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</si>
  <si>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</si>
  <si>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</si>
  <si>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</si>
  <si>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</si>
  <si>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</si>
  <si>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</si>
  <si>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</si>
  <si>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</si>
  <si>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</si>
  <si>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</si>
  <si>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</si>
  <si>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</si>
  <si>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</si>
  <si>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</si>
  <si>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</si>
  <si>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</si>
  <si>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</si>
  <si>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</si>
  <si>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</si>
  <si>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</si>
  <si>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</si>
  <si>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</si>
  <si>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</si>
  <si>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</si>
  <si>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</si>
  <si>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</si>
  <si>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</si>
  <si>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</si>
  <si>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</si>
  <si>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</si>
  <si>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</si>
  <si>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</si>
  <si>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</si>
  <si>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</si>
  <si>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</si>
  <si>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</si>
  <si>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</si>
  <si>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</si>
  <si>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</si>
  <si>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</si>
  <si>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</si>
  <si>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</si>
  <si>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</si>
  <si>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</si>
  <si>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</si>
  <si>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</si>
  <si>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</si>
  <si>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</si>
  <si>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</si>
  <si>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</si>
  <si>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</si>
  <si>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</si>
  <si>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</si>
  <si>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</si>
  <si>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</si>
  <si>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</si>
  <si>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</si>
  <si>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</si>
  <si>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</si>
  <si>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</si>
  <si>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</si>
  <si>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</si>
  <si>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</si>
  <si>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</si>
  <si>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</si>
  <si>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</si>
  <si>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</si>
  <si>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</si>
  <si>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</si>
  <si>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</si>
  <si>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</si>
  <si>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</si>
  <si>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</si>
  <si>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</si>
  <si>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</si>
  <si>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</si>
  <si>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</si>
  <si>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</si>
  <si>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</si>
  <si>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</si>
  <si>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</si>
  <si>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</si>
  <si>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</si>
  <si>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</si>
  <si>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</si>
  <si>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</si>
  <si>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</si>
  <si>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</si>
  <si>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</si>
  <si>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</si>
  <si>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</si>
  <si>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</si>
  <si>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</si>
  <si>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</si>
  <si>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</si>
  <si>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</si>
  <si>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</si>
  <si>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</si>
  <si>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</si>
  <si>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</si>
  <si>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</si>
  <si>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</si>
  <si>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</si>
  <si>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</si>
  <si>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</si>
  <si>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</si>
  <si>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</si>
  <si>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</si>
  <si>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</si>
  <si>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</si>
  <si>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</si>
  <si>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</si>
  <si>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</si>
  <si>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</si>
  <si>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</si>
  <si>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</si>
  <si>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</si>
  <si>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</si>
  <si>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</si>
  <si>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</si>
  <si>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</si>
  <si>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</si>
  <si>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</si>
  <si>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</si>
  <si>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</si>
  <si>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</si>
  <si>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</si>
  <si>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</si>
  <si>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</si>
  <si>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</si>
  <si>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</si>
  <si>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</si>
  <si>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</si>
  <si>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</si>
  <si>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</si>
  <si>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</si>
  <si>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</si>
  <si>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</si>
  <si>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</si>
  <si>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</si>
  <si>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</si>
  <si>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</si>
  <si>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</si>
  <si>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</si>
  <si>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</si>
  <si>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</si>
  <si>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</si>
  <si>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</si>
  <si>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</si>
  <si>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</si>
  <si>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</si>
  <si>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</si>
  <si>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</si>
  <si>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</si>
  <si>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</si>
  <si>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</si>
  <si>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</si>
  <si>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</si>
  <si>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</si>
  <si>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</si>
  <si>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</si>
  <si>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</si>
  <si>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</si>
  <si>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</si>
  <si>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</si>
  <si>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</si>
  <si>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</si>
  <si>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</si>
  <si>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</si>
  <si>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</si>
  <si>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</si>
  <si>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</si>
  <si>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</si>
  <si>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</si>
  <si>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</si>
  <si>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</si>
  <si>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</si>
  <si>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</si>
  <si>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</si>
  <si>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</si>
  <si>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</si>
  <si>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</si>
  <si>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</si>
  <si>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</si>
  <si>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</si>
  <si>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</si>
  <si>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</si>
  <si>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</si>
  <si>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</si>
  <si>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</si>
  <si>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</si>
  <si>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</si>
  <si>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</si>
  <si>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</si>
  <si>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</si>
  <si>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</si>
  <si>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</si>
  <si>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</si>
  <si>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</si>
  <si>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</si>
  <si>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</si>
  <si>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</si>
  <si>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</si>
  <si>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</si>
  <si>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</si>
  <si>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</si>
  <si>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</si>
  <si>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</si>
  <si>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</si>
  <si>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</si>
  <si>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</si>
  <si>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</si>
  <si>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</si>
  <si>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</si>
  <si>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</si>
  <si>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</si>
  <si>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</si>
  <si>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</si>
  <si>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</si>
  <si>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</si>
  <si>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</si>
  <si>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</si>
  <si>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</si>
  <si>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</si>
  <si>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</si>
  <si>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</si>
  <si>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</si>
  <si>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</si>
  <si>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</si>
  <si>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</si>
  <si>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</si>
  <si>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</si>
  <si>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</si>
  <si>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</si>
  <si>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</si>
  <si>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</si>
  <si>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</si>
  <si>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</si>
  <si>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</si>
  <si>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</si>
  <si>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</si>
  <si>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</si>
  <si>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</si>
  <si>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</si>
  <si>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</si>
  <si>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</si>
  <si>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</si>
  <si>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</si>
  <si>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</si>
  <si>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</si>
  <si>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</si>
  <si>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</si>
  <si>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</si>
  <si>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</si>
  <si>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</si>
  <si>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</si>
  <si>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</si>
  <si>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</si>
  <si>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</si>
  <si>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</si>
  <si>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</si>
  <si>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</si>
  <si>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</si>
  <si>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</si>
  <si>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</si>
  <si>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</si>
  <si>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</si>
  <si>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</si>
  <si>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</si>
  <si>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</si>
  <si>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</si>
  <si>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</si>
  <si>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</si>
  <si>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</si>
  <si>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</si>
  <si>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</si>
  <si>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</si>
  <si>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</si>
  <si>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</si>
  <si>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</si>
  <si>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</si>
  <si>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</si>
  <si>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</si>
  <si>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</si>
  <si>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</si>
  <si>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</si>
  <si>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</si>
  <si>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</si>
  <si>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</si>
  <si>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</si>
  <si>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</si>
  <si>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</si>
  <si>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</si>
  <si>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</si>
  <si>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</si>
  <si>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</si>
  <si>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</si>
  <si>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</si>
  <si>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</si>
  <si>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</si>
  <si>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</si>
  <si>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</si>
  <si>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</si>
  <si>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</si>
  <si>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</si>
  <si>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</si>
  <si>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</si>
  <si>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</si>
  <si>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</si>
  <si>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</si>
  <si>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</si>
  <si>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</si>
  <si>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</si>
  <si>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</si>
  <si>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</si>
  <si>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</si>
  <si>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</si>
  <si>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</si>
  <si>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</si>
  <si>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</si>
  <si>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</si>
  <si>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</si>
  <si>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</si>
  <si>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</si>
  <si>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</si>
  <si>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</si>
  <si>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</si>
  <si>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</si>
  <si>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</si>
  <si>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</si>
  <si>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</si>
  <si>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</si>
  <si>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</si>
  <si>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</si>
  <si>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</si>
  <si>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</si>
  <si>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</si>
  <si>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</si>
  <si>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</si>
  <si>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</si>
  <si>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</si>
  <si>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</si>
  <si>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</si>
  <si>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</si>
  <si>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</si>
  <si>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</si>
  <si>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</si>
  <si>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</si>
  <si>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</si>
  <si>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</si>
  <si>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</si>
  <si>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</si>
  <si>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</si>
  <si>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</si>
  <si>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</si>
  <si>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Average Donation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</si>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</sst>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164" fontId="0" fillId="0" borderId="0" xfId="1" applyNumberFormat="1" applyFont="1"/>
    <xf numFmtId="166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2-49DD-9EE2-9A2BB68276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2-49DD-9EE2-9A2BB68276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52-49DD-9EE2-9A2BB6827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402512"/>
        <c:axId val="809204112"/>
      </c:lineChart>
      <c:catAx>
        <c:axId val="28040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04112"/>
        <c:crosses val="autoZero"/>
        <c:auto val="1"/>
        <c:lblAlgn val="ctr"/>
        <c:lblOffset val="100"/>
        <c:noMultiLvlLbl val="0"/>
      </c:catAx>
      <c:valAx>
        <c:axId val="8092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0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4-4C15-8BE6-B27A184145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4-4C15-8BE6-B27A184145F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4-4C15-8BE6-B27A1841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864800"/>
        <c:axId val="1588804704"/>
      </c:lineChart>
      <c:catAx>
        <c:axId val="153386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04704"/>
        <c:crosses val="autoZero"/>
        <c:auto val="1"/>
        <c:lblAlgn val="ctr"/>
        <c:lblOffset val="100"/>
        <c:noMultiLvlLbl val="0"/>
      </c:catAx>
      <c:valAx>
        <c:axId val="15888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6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7-4528-9AD9-D44ED721F50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7-4528-9AD9-D44ED721F50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7-4528-9AD9-D44ED721F50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7-4528-9AD9-D44ED721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885888"/>
        <c:axId val="571868416"/>
      </c:barChart>
      <c:catAx>
        <c:axId val="57188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68416"/>
        <c:crosses val="autoZero"/>
        <c:auto val="1"/>
        <c:lblAlgn val="ctr"/>
        <c:lblOffset val="100"/>
        <c:noMultiLvlLbl val="0"/>
      </c:catAx>
      <c:valAx>
        <c:axId val="5718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B-41A7-941F-D4F6958990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B-41A7-941F-D4F6958990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B-41A7-941F-D4F69589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199072"/>
        <c:axId val="156195744"/>
      </c:barChart>
      <c:catAx>
        <c:axId val="1561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5744"/>
        <c:crosses val="autoZero"/>
        <c:auto val="1"/>
        <c:lblAlgn val="ctr"/>
        <c:lblOffset val="100"/>
        <c:noMultiLvlLbl val="0"/>
      </c:catAx>
      <c:valAx>
        <c:axId val="1561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3-4830-9224-8082DFB54D04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3-4830-9224-8082DFB54D04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43-4830-9224-8082DFB54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69344"/>
        <c:axId val="653368928"/>
      </c:lineChart>
      <c:catAx>
        <c:axId val="6533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8928"/>
        <c:crosses val="autoZero"/>
        <c:auto val="1"/>
        <c:lblAlgn val="ctr"/>
        <c:lblOffset val="100"/>
        <c:noMultiLvlLbl val="0"/>
      </c:catAx>
      <c:valAx>
        <c:axId val="653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2</xdr:row>
      <xdr:rowOff>29527</xdr:rowOff>
    </xdr:from>
    <xdr:to>
      <xdr:col>17</xdr:col>
      <xdr:colOff>17144</xdr:colOff>
      <xdr:row>21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EB41C-50FB-AAF6-3820-42D40A0AD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1122045</xdr:colOff>
      <xdr:row>14</xdr:row>
      <xdr:rowOff>58102</xdr:rowOff>
    </xdr:from>
    <xdr:to>
      <xdr:col>13</xdr:col>
      <xdr:colOff>133350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20D5B-202B-C79A-D317-E3117A92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64770</xdr:rowOff>
    </xdr:from>
    <xdr:to>
      <xdr:col>15</xdr:col>
      <xdr:colOff>304800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C565E-97C9-3B06-A773-F30B00D22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148590</xdr:rowOff>
    </xdr:from>
    <xdr:to>
      <xdr:col>15</xdr:col>
      <xdr:colOff>563880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1875D-C429-70F1-8CB8-69A4CB013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87630</xdr:rowOff>
    </xdr:from>
    <xdr:to>
      <xdr:col>12</xdr:col>
      <xdr:colOff>403860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45461-9741-0C2D-30B1-14426F74F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6747337962" createdVersion="8" refreshedVersion="8" minRefreshableVersion="3" recordCount="4114" xr:uid="{87A1BCD0-E589-4096-9807-60B4A7031FC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6748495371" createdVersion="8" refreshedVersion="8" minRefreshableVersion="3" recordCount="4114" xr:uid="{4BE7999B-57FD-492A-BF9E-FBB99A689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9888773146" createdVersion="8" refreshedVersion="8" minRefreshableVersion="3" recordCount="4114" xr:uid="{0AAD883B-6025-4670-9C82-29646264B5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3BC2D-72A4-44B2-AD41-89530B7D625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62208-0983-4741-B608-DF5EAC7CD6E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14155-D412-4401-8B38-BE1E23551A5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DD406-CD00-49C7-8D9C-5B8E8AA2CDB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pane xSplit="2" ySplit="2" topLeftCell="C4105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4.85546875" bestFit="1" customWidth="1"/>
    <col min="17" max="17" width="41.140625" customWidth="1"/>
    <col min="18" max="18" width="15.5703125" bestFit="1" customWidth="1"/>
    <col min="19" max="20" width="29.5703125" bestFit="1" customWidth="1"/>
    <col min="21" max="21" width="11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4116:O1048576 O1:P1 S1:U1">
    <cfRule type="colorScale" priority="4">
      <colorScale>
        <cfvo type="min"/>
        <cfvo type="max"/>
        <color rgb="FFC00000"/>
        <color theme="4"/>
      </colorScale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EECD-A58D-44B6-A074-A18152678434}">
  <sheetPr codeName="Sheet10"/>
  <dimension ref="A1:E18"/>
  <sheetViews>
    <sheetView tabSelected="1" workbookViewId="0">
      <selection activeCell="L28" sqref="L2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6" width="11" bestFit="1" customWidth="1"/>
  </cols>
  <sheetData>
    <row r="1" spans="1:5" x14ac:dyDescent="0.25">
      <c r="A1" s="11" t="s">
        <v>8358</v>
      </c>
      <c r="B1" t="s">
        <v>8314</v>
      </c>
    </row>
    <row r="2" spans="1:5" x14ac:dyDescent="0.25">
      <c r="A2" s="11" t="s">
        <v>8399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8371</v>
      </c>
      <c r="B15">
        <v>65</v>
      </c>
      <c r="C15">
        <v>50</v>
      </c>
      <c r="E15">
        <v>115</v>
      </c>
    </row>
    <row r="16" spans="1:5" x14ac:dyDescent="0.2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6FB51-C984-465C-B120-67C280A05055}">
  <sheetPr codeName="Sheet11"/>
  <dimension ref="A1:H13"/>
  <sheetViews>
    <sheetView workbookViewId="0">
      <selection activeCell="K9" sqref="K9"/>
    </sheetView>
  </sheetViews>
  <sheetFormatPr defaultRowHeight="15" x14ac:dyDescent="0.25"/>
  <cols>
    <col min="1" max="1" width="23.28515625" customWidth="1"/>
    <col min="2" max="2" width="17.7109375" bestFit="1" customWidth="1"/>
    <col min="3" max="3" width="13.85546875" bestFit="1" customWidth="1"/>
    <col min="4" max="4" width="17.28515625" bestFit="1" customWidth="1"/>
    <col min="5" max="5" width="12.7109375" bestFit="1" customWidth="1"/>
    <col min="6" max="6" width="20.28515625" bestFit="1" customWidth="1"/>
    <col min="7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8418</v>
      </c>
      <c r="E1" t="s">
        <v>8402</v>
      </c>
      <c r="F1" t="s">
        <v>8403</v>
      </c>
      <c r="G1" t="s">
        <v>8405</v>
      </c>
      <c r="H1" t="s">
        <v>8404</v>
      </c>
    </row>
    <row r="2" spans="1:8" x14ac:dyDescent="0.25">
      <c r="A2" t="s">
        <v>8406</v>
      </c>
      <c r="B2">
        <f>COUNTIFS(Kickstarter!D:D, "&lt;1000",Kickstarter!F:F, "successful", Kickstarter!R:R, "plays")</f>
        <v>141</v>
      </c>
      <c r="C2">
        <f>COUNTIFS(Kickstarter!D:D, "&lt;1000",Kickstarter!F:F, "failed", Kickstarter!R:R, "plays")</f>
        <v>45</v>
      </c>
      <c r="D2">
        <f>COUNTIFS(Kickstarter!D:D, "&lt;1000",Kickstarter!F:F, "canceled", Kickstarter!R:R, 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25">
      <c r="A3" t="s">
        <v>8407</v>
      </c>
      <c r="B3">
        <f>COUNTIFS(Kickstarter!D:D, "&gt;=1000",Kickstarter!D:D, "&lt;=4999", Kickstarter!F:F, "successful", Kickstarter!R:R, "plays")</f>
        <v>388</v>
      </c>
      <c r="C3">
        <f>COUNTIFS(Kickstarter!D:D, "&gt;=1000",Kickstarter!D:D, "&lt;=4999", Kickstarter!F:F, "failed", Kickstarter!R:R, "plays")</f>
        <v>146</v>
      </c>
      <c r="D3">
        <f>COUNTIFS(Kickstarter!D:D, "&gt;=1000",Kickstarter!D:D, "&lt;=4999", Kickstarter!F:F, "canceled", Kickstarter!R:R, 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8408</v>
      </c>
      <c r="B4">
        <f>COUNTIFS(Kickstarter!D:D, "&gt;=5000",Kickstarter!D:D, "&lt;=9999", Kickstarter!F:F, "successful", Kickstarter!R:R, "plays")</f>
        <v>93</v>
      </c>
      <c r="C4">
        <f>COUNTIFS(Kickstarter!D:D, "&gt;=5000",Kickstarter!D:D, "&lt;=9999", Kickstarter!F:F, "failed", Kickstarter!R:R, "plays")</f>
        <v>76</v>
      </c>
      <c r="D4">
        <f>COUNTIFS(Kickstarter!D:D, "&gt;=5000",Kickstarter!D:D, "&lt;=9999", Kickstarter!F:F, "canceled", Kickstarter!R:R, 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8409</v>
      </c>
      <c r="B5">
        <f>COUNTIFS(Kickstarter!D:D, "&gt;=10000",Kickstarter!D:D, "&lt;=14999", Kickstarter!F:F, "successful", Kickstarter!R:R, "plays")</f>
        <v>39</v>
      </c>
      <c r="C5">
        <f>COUNTIFS(Kickstarter!D:D, "&gt;=10000",Kickstarter!D:D, "&lt;=14999", Kickstarter!F:F, "failed", Kickstarter!R:R, "plays")</f>
        <v>33</v>
      </c>
      <c r="D5">
        <f>COUNTIFS(Kickstarter!D:D, "&gt;=10000",Kickstarter!D:D, "&lt;=14999", Kickstarter!F:F, "canceled", Kickstarter!R:R, "plays")</f>
        <v>0</v>
      </c>
      <c r="E5">
        <f t="shared" si="1"/>
        <v>72</v>
      </c>
      <c r="F5" s="18">
        <f>B5/$E5</f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8410</v>
      </c>
      <c r="B6">
        <f>COUNTIFS(Kickstarter!D:D, "&gt;=15000",Kickstarter!D:D, "&lt;=19999", Kickstarter!F:F, "successful", Kickstarter!R:R, "plays")</f>
        <v>12</v>
      </c>
      <c r="C6">
        <f>COUNTIFS(Kickstarter!D:D, "&gt;=15000",Kickstarter!D:D, "&lt;=19999", Kickstarter!F:F, "failed", Kickstarter!R:R, "plays")</f>
        <v>12</v>
      </c>
      <c r="D6">
        <f>COUNTIFS(Kickstarter!D:D, "&gt;=15000",Kickstarter!D:D, "&lt;=19999", Kickstarter!F:F, "canceled", Kickstarter!R:R, "plays")</f>
        <v>0</v>
      </c>
      <c r="E6">
        <f t="shared" si="1"/>
        <v>24</v>
      </c>
      <c r="F6" s="18">
        <f>B6/$E6</f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8411</v>
      </c>
      <c r="B7">
        <f>COUNTIFS(Kickstarter!D:D, "&gt;=20000",Kickstarter!D:D, "&lt;=24999", Kickstarter!F:F, "successful", Kickstarter!R:R, "plays")</f>
        <v>9</v>
      </c>
      <c r="C7">
        <f>COUNTIFS(Kickstarter!D:D, "&gt;=20000",Kickstarter!D:D, "&lt;=24999", Kickstarter!F:F, "failed", Kickstarter!R:R, "plays")</f>
        <v>11</v>
      </c>
      <c r="D7">
        <f>COUNTIFS(Kickstarter!D:D, "&gt;=20000",Kickstarter!D:D, "&lt;=24999", Kickstarter!F:F, "canceled", Kickstarter!R:R, "plays")</f>
        <v>0</v>
      </c>
      <c r="E7">
        <f t="shared" si="1"/>
        <v>20</v>
      </c>
      <c r="F7" s="18">
        <f>B7/$E7</f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8412</v>
      </c>
      <c r="B8">
        <f>COUNTIFS(Kickstarter!D:D, "&gt;=25000",Kickstarter!D:D, "&lt;=29999", Kickstarter!F:F, "successful", Kickstarter!R:R, "plays")</f>
        <v>1</v>
      </c>
      <c r="C8">
        <f>COUNTIFS(Kickstarter!D:D, "&gt;=25000",Kickstarter!D:D, "&lt;=29999", Kickstarter!F:F, "failed", Kickstarter!R:R, "plays")</f>
        <v>4</v>
      </c>
      <c r="D8">
        <f>COUNTIFS(Kickstarter!D:D, "&gt;=25000",Kickstarter!D:D, "&lt;=29999", Kickstarter!F:F, "canceled", Kickstarter!R:R, "plays")</f>
        <v>0</v>
      </c>
      <c r="E8">
        <f t="shared" si="1"/>
        <v>5</v>
      </c>
      <c r="F8" s="18">
        <f>B8/$E8</f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8414</v>
      </c>
      <c r="B9">
        <f>COUNTIFS(Kickstarter!D:D, "&gt;=30000",Kickstarter!D:D, "&lt;=34999", Kickstarter!F:F, "successful", Kickstarter!R:R, "plays")</f>
        <v>3</v>
      </c>
      <c r="C9">
        <f>COUNTIFS(Kickstarter!D:D, "&gt;=30000",Kickstarter!D:D, "&lt;=34999", Kickstarter!F:F, "failed", Kickstarter!R:R, "plays")</f>
        <v>8</v>
      </c>
      <c r="D9">
        <f>COUNTIFS(Kickstarter!D:D, "&gt;=30000",Kickstarter!D:D, "&lt;=34999", Kickstarter!F:F, "canceled", Kickstarter!R:R, 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8413</v>
      </c>
      <c r="B10">
        <f>COUNTIFS(Kickstarter!D:D, "&gt;=35000",Kickstarter!D:D, "&lt;=39999", Kickstarter!F:F, "successful", Kickstarter!R:R, "plays")</f>
        <v>4</v>
      </c>
      <c r="C10">
        <f>COUNTIFS(Kickstarter!D:D, "&gt;=35000",Kickstarter!D:D, "&lt;=39999", Kickstarter!F:F, "failed", Kickstarter!R:R, "plays")</f>
        <v>2</v>
      </c>
      <c r="D10">
        <f>COUNTIFS(Kickstarter!D:D, "&gt;=35000",Kickstarter!D:D, "&lt;=39999", Kickstarter!F:F, "canceled", Kickstarter!R:R, 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5">
      <c r="A11" t="s">
        <v>8415</v>
      </c>
      <c r="B11">
        <f>COUNTIFS(Kickstarter!D:D, "&gt;=40000",Kickstarter!D:D, "&lt;=44999", Kickstarter!F:F, "successful", Kickstarter!R:R, "plays")</f>
        <v>2</v>
      </c>
      <c r="C11">
        <f>COUNTIFS(Kickstarter!D:D, "&gt;=40000",Kickstarter!D:D, "&lt;=44999", Kickstarter!F:F, "failed", Kickstarter!R:R, "plays")</f>
        <v>1</v>
      </c>
      <c r="D11">
        <f>COUNTIFS(Kickstarter!D:D, "&gt;=40000",Kickstarter!D:D, "&lt;=44999", Kickstarter!F:F, "canceled", Kickstarter!R:R, 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8416</v>
      </c>
      <c r="B12">
        <f>COUNTIFS(Kickstarter!D:D, "&gt;=45000",Kickstarter!D:D, "&lt;=49999", Kickstarter!F:F, "successful", Kickstarter!R:R, "plays")</f>
        <v>0</v>
      </c>
      <c r="C12">
        <f>COUNTIFS(Kickstarter!D:D, "&gt;=45000",Kickstarter!D:D, "&lt;=49999", Kickstarter!F:F, "failed", Kickstarter!R:R, "plays")</f>
        <v>1</v>
      </c>
      <c r="D12">
        <f>COUNTIFS(Kickstarter!D:D, "&gt;=45000",Kickstarter!D:D, "&lt;=49999", Kickstarter!F:F, "canceled", Kickstarter!R:R, 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8417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1"/>
        <v>12</v>
      </c>
      <c r="F13" s="18">
        <f t="shared" si="2"/>
        <v>0.16666666666666666</v>
      </c>
      <c r="G13" s="18">
        <f t="shared" si="0"/>
        <v>0.83333333333333337</v>
      </c>
      <c r="H13" s="18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17FC5-F831-49A8-9F9D-6B2F9B74AFB2}">
  <sheetPr codeName="Sheet2"/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" sqref="C12"/>
    </sheetView>
  </sheetViews>
  <sheetFormatPr defaultRowHeight="15" x14ac:dyDescent="0.25"/>
  <cols>
    <col min="1" max="1" width="5" bestFit="1" customWidth="1"/>
    <col min="2" max="2" width="37.28515625" bestFit="1" customWidth="1"/>
    <col min="3" max="3" width="40.28515625" bestFit="1" customWidth="1"/>
    <col min="4" max="4" width="12.140625" bestFit="1" customWidth="1"/>
    <col min="5" max="5" width="11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5.140625" bestFit="1" customWidth="1"/>
    <col min="18" max="18" width="11.5703125" bestFit="1" customWidth="1"/>
    <col min="19" max="20" width="2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3">
        <v>42430.040798611109</v>
      </c>
      <c r="T3" s="13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3">
        <v>42155.920219907406</v>
      </c>
      <c r="T7" s="13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3">
        <v>42157.591064814813</v>
      </c>
      <c r="T8" s="13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3">
        <v>42676.065150462964</v>
      </c>
      <c r="T9" s="13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3">
        <v>42282.768414351856</v>
      </c>
      <c r="T11" s="13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3">
        <v>42473.794710648144</v>
      </c>
      <c r="T12" s="13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3">
        <v>42086.614942129629</v>
      </c>
      <c r="T16" s="13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3">
        <v>42169.814340277779</v>
      </c>
      <c r="T20" s="13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3">
        <v>42483.675208333334</v>
      </c>
      <c r="T21" s="13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3">
        <v>42558.189432870371</v>
      </c>
      <c r="T27" s="13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3">
        <v>42056.013124999998</v>
      </c>
      <c r="T30" s="13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3">
        <v>41780.525937500002</v>
      </c>
      <c r="T34" s="13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3">
        <v>42208.84646990741</v>
      </c>
      <c r="T37" s="13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3">
        <v>41842.607592592591</v>
      </c>
      <c r="T50" s="13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3">
        <v>42061.212488425925</v>
      </c>
      <c r="T52" s="13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3">
        <v>42157.470185185186</v>
      </c>
      <c r="T54" s="13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3">
        <v>42162.729548611111</v>
      </c>
      <c r="T56" s="13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3">
        <v>41808.669571759259</v>
      </c>
      <c r="T60" s="13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3">
        <v>42694.110185185185</v>
      </c>
      <c r="T62" s="13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3">
        <v>42219.915856481486</v>
      </c>
      <c r="T69" s="13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3">
        <v>41891.665324074071</v>
      </c>
      <c r="T71" s="13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3">
        <v>40633.154363425929</v>
      </c>
      <c r="T75" s="13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3">
        <v>40970.875671296293</v>
      </c>
      <c r="T76" s="13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3">
        <v>40923.729953703703</v>
      </c>
      <c r="T91" s="13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3">
        <v>41778.637245370373</v>
      </c>
      <c r="T103" s="13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3">
        <v>42219.665173611109</v>
      </c>
      <c r="T107" s="13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3">
        <v>42522.347812499997</v>
      </c>
      <c r="T121" s="13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3">
        <v>42068.888391203705</v>
      </c>
      <c r="T129" s="13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3">
        <v>41918.742175925923</v>
      </c>
      <c r="T131" s="13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3">
        <v>41982.887280092589</v>
      </c>
      <c r="T135" s="13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3">
        <v>42400.704537037032</v>
      </c>
      <c r="T147" s="13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3">
        <v>42431.102534722217</v>
      </c>
      <c r="T149" s="13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3">
        <v>42219.019733796296</v>
      </c>
      <c r="T151" s="13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3">
        <v>42232.702546296292</v>
      </c>
      <c r="T156" s="13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3">
        <v>42239.957962962959</v>
      </c>
      <c r="T157" s="13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3">
        <v>42102.743773148148</v>
      </c>
      <c r="T159" s="13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3">
        <v>41914.100289351853</v>
      </c>
      <c r="T174" s="13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3">
        <v>42521.010370370372</v>
      </c>
      <c r="T175" s="13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3">
        <v>41822.57503472222</v>
      </c>
      <c r="T177" s="13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3">
        <v>41809.860300925924</v>
      </c>
      <c r="T179" s="13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3">
        <v>42062.296412037031</v>
      </c>
      <c r="T185" s="13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3">
        <v>41851.200150462959</v>
      </c>
      <c r="T186" s="13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3">
        <v>42054.024421296301</v>
      </c>
      <c r="T188" s="13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3">
        <v>42466.558796296296</v>
      </c>
      <c r="T189" s="13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3">
        <v>41851.771354166667</v>
      </c>
      <c r="T196" s="13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3">
        <v>41855.548101851848</v>
      </c>
      <c r="T202" s="13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3">
        <v>41937.95344907407</v>
      </c>
      <c r="T204" s="13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3">
        <v>42044.184988425928</v>
      </c>
      <c r="T205" s="13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3">
        <v>42524.782638888893</v>
      </c>
      <c r="T206" s="13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3">
        <v>41764.44663194444</v>
      </c>
      <c r="T215" s="13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3">
        <v>42500.041550925926</v>
      </c>
      <c r="T222" s="13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3">
        <v>41894.91375</v>
      </c>
      <c r="T227" s="13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3">
        <v>42088.911354166667</v>
      </c>
      <c r="T230" s="13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3">
        <v>42018.676898148144</v>
      </c>
      <c r="T231" s="13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3">
        <v>41800.380428240744</v>
      </c>
      <c r="T237" s="13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3">
        <v>41809.12300925926</v>
      </c>
      <c r="T242" s="13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3">
        <v>42294.429641203707</v>
      </c>
      <c r="T243" s="13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3">
        <v>42124.841111111105</v>
      </c>
      <c r="T244" s="13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3">
        <v>42532.052523148144</v>
      </c>
      <c r="T248" s="13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3">
        <v>42088.723692129628</v>
      </c>
      <c r="T249" s="13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3">
        <v>41820.639189814814</v>
      </c>
      <c r="T250" s="13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3">
        <v>42626.7503125</v>
      </c>
      <c r="T251" s="13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3">
        <v>42016.706678240742</v>
      </c>
      <c r="T253" s="13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3">
        <v>41928.170497685183</v>
      </c>
      <c r="T263" s="13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3">
        <v>42087.768055555556</v>
      </c>
      <c r="T273" s="13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3">
        <v>42268.009224537032</v>
      </c>
      <c r="T276" s="13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3">
        <v>41848.866157407407</v>
      </c>
      <c r="T277" s="13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3">
        <v>42511.741944444439</v>
      </c>
      <c r="T280" s="13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3">
        <v>42419.91942129629</v>
      </c>
      <c r="T282" s="13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3">
        <v>41760.935706018521</v>
      </c>
      <c r="T285" s="13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3">
        <v>42491.92288194444</v>
      </c>
      <c r="T287" s="13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3">
        <v>41802.62090277778</v>
      </c>
      <c r="T289" s="13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3">
        <v>42214.6956712963</v>
      </c>
      <c r="T297" s="13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3">
        <v>42460.335312499999</v>
      </c>
      <c r="T298" s="13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3">
        <v>42600.756041666667</v>
      </c>
      <c r="T305" s="13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3">
        <v>42040.831678240742</v>
      </c>
      <c r="T307" s="13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3">
        <v>42075.807395833333</v>
      </c>
      <c r="T308" s="13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3">
        <v>42411.942291666666</v>
      </c>
      <c r="T311" s="13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3">
        <v>41753.515856481477</v>
      </c>
      <c r="T312" s="13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3">
        <v>42203.680300925931</v>
      </c>
      <c r="T316" s="13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3">
        <v>41976.331979166673</v>
      </c>
      <c r="T320" s="13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3">
        <v>42451.095856481479</v>
      </c>
      <c r="T326" s="13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3">
        <v>42125.647534722222</v>
      </c>
      <c r="T330" s="13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3">
        <v>42447.894432870366</v>
      </c>
      <c r="T340" s="13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3">
        <v>42283.864351851851</v>
      </c>
      <c r="T341" s="13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3">
        <v>42144.041851851856</v>
      </c>
      <c r="T344" s="13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3">
        <v>42661.132245370376</v>
      </c>
      <c r="T345" s="13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3">
        <v>42545.774189814809</v>
      </c>
      <c r="T350" s="13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3">
        <v>42055.277199074073</v>
      </c>
      <c r="T356" s="13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3">
        <v>42447.896666666667</v>
      </c>
      <c r="T357" s="13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3">
        <v>42185.556157407409</v>
      </c>
      <c r="T360" s="13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3">
        <v>41820.62809027778</v>
      </c>
      <c r="T361" s="13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3">
        <v>41802.574282407404</v>
      </c>
      <c r="T363" s="13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3">
        <v>42633.116851851853</v>
      </c>
      <c r="T368" s="13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3">
        <v>41787.218229166669</v>
      </c>
      <c r="T372" s="13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3">
        <v>42147.826840277776</v>
      </c>
      <c r="T373" s="13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3">
        <v>42165.993125000001</v>
      </c>
      <c r="T393" s="13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3">
        <v>42632.348310185189</v>
      </c>
      <c r="T396" s="13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3">
        <v>42497.275706018518</v>
      </c>
      <c r="T398" s="13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3">
        <v>41807.690081018518</v>
      </c>
      <c r="T400" s="13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3">
        <v>42184.209537037037</v>
      </c>
      <c r="T403" s="13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3">
        <v>42341.180636574078</v>
      </c>
      <c r="T404" s="13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3">
        <v>42170.910231481481</v>
      </c>
      <c r="T405" s="13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3">
        <v>42151.069606481484</v>
      </c>
      <c r="T406" s="13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3">
        <v>41927.848900462966</v>
      </c>
      <c r="T410" s="13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3">
        <v>42553.926527777774</v>
      </c>
      <c r="T412" s="13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3">
        <v>42155.142638888887</v>
      </c>
      <c r="T413" s="13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S1:T1">
    <cfRule type="colorScale" priority="2">
      <colorScale>
        <cfvo type="min"/>
        <cfvo type="max"/>
        <color rgb="FFC0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2B642-ADE4-4234-8110-17975CE26F84}">
  <sheetPr codeName="Sheet3"/>
  <dimension ref="A1:T251"/>
  <sheetViews>
    <sheetView topLeftCell="A243" workbookViewId="0">
      <selection activeCell="E5" sqref="E5"/>
    </sheetView>
  </sheetViews>
  <sheetFormatPr defaultRowHeight="15" x14ac:dyDescent="0.25"/>
  <cols>
    <col min="1" max="1" width="5" bestFit="1" customWidth="1"/>
    <col min="2" max="2" width="38.42578125" bestFit="1" customWidth="1"/>
    <col min="3" max="3" width="40.28515625" bestFit="1" customWidth="1"/>
    <col min="4" max="4" width="12.140625" bestFit="1" customWidth="1"/>
    <col min="5" max="5" width="10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5.140625" bestFit="1" customWidth="1"/>
    <col min="18" max="18" width="11.5703125" bestFit="1" customWidth="1"/>
    <col min="19" max="20" width="2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3">
        <v>42492.737847222219</v>
      </c>
      <c r="T2" s="13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3">
        <v>42103.016585648147</v>
      </c>
      <c r="T3" s="13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3">
        <v>42453.806307870371</v>
      </c>
      <c r="T5" s="13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3">
        <v>42123.648831018523</v>
      </c>
      <c r="T6" s="13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3">
        <v>41858.007071759261</v>
      </c>
      <c r="T7" s="13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3">
        <v>41781.045173611114</v>
      </c>
      <c r="T8" s="13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3">
        <v>42370.007766203707</v>
      </c>
      <c r="T9" s="13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3">
        <v>42165.037581018521</v>
      </c>
      <c r="T10" s="13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3">
        <v>42480.800648148142</v>
      </c>
      <c r="T11" s="13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3">
        <v>41784.789687500001</v>
      </c>
      <c r="T12" s="13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3">
        <v>41831.675034722226</v>
      </c>
      <c r="T13" s="13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3">
        <v>41950.114108796297</v>
      </c>
      <c r="T14" s="13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3">
        <v>42627.955104166671</v>
      </c>
      <c r="T15" s="13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3">
        <v>42531.195277777777</v>
      </c>
      <c r="T16" s="13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3">
        <v>42618.827013888891</v>
      </c>
      <c r="T17" s="13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3">
        <v>42540.593530092592</v>
      </c>
      <c r="T18" s="13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3">
        <v>41746.189409722225</v>
      </c>
      <c r="T19" s="13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3">
        <v>42115.11618055556</v>
      </c>
      <c r="T21" s="13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3">
        <v>42002.817488425921</v>
      </c>
      <c r="T22" s="13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3">
        <v>42722.84474537037</v>
      </c>
      <c r="T23" s="13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3">
        <v>42171.743969907402</v>
      </c>
      <c r="T25" s="13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3">
        <v>42672.955138888887</v>
      </c>
      <c r="T26" s="13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3">
        <v>42359.725243055553</v>
      </c>
      <c r="T27" s="13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3">
        <v>42192.905694444446</v>
      </c>
      <c r="T28" s="13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3">
        <v>41916.597638888888</v>
      </c>
      <c r="T29" s="13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3">
        <v>42461.596273148149</v>
      </c>
      <c r="T30" s="13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3">
        <v>41948.727256944447</v>
      </c>
      <c r="T32" s="13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3">
        <v>42047.07640046296</v>
      </c>
      <c r="T33" s="13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3">
        <v>42261.632916666669</v>
      </c>
      <c r="T34" s="13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3">
        <v>41985.427361111113</v>
      </c>
      <c r="T35" s="13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3">
        <v>41922.535185185188</v>
      </c>
      <c r="T36" s="13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3">
        <v>41850.863252314812</v>
      </c>
      <c r="T37" s="13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3">
        <v>41831.742962962962</v>
      </c>
      <c r="T38" s="13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3">
        <v>42415.883425925931</v>
      </c>
      <c r="T39" s="13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3">
        <v>42037.986284722225</v>
      </c>
      <c r="T42" s="13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3">
        <v>42258.646504629629</v>
      </c>
      <c r="T45" s="13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3">
        <v>42278.664965277778</v>
      </c>
      <c r="T46" s="13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3">
        <v>42515.078217592592</v>
      </c>
      <c r="T47" s="13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3">
        <v>41830.234166666669</v>
      </c>
      <c r="T48" s="13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3">
        <v>42210.439768518518</v>
      </c>
      <c r="T50" s="13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3">
        <v>42196.166874999995</v>
      </c>
      <c r="T51" s="13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3">
        <v>42606.056863425925</v>
      </c>
      <c r="T52" s="13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3">
        <v>42199.648912037039</v>
      </c>
      <c r="T53" s="13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3">
        <v>42444.877743055549</v>
      </c>
      <c r="T54" s="13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3">
        <v>42499.731701388882</v>
      </c>
      <c r="T55" s="13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3">
        <v>41929.266215277778</v>
      </c>
      <c r="T56" s="13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3">
        <v>42142.768819444449</v>
      </c>
      <c r="T57" s="13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3">
        <v>42354.131643518514</v>
      </c>
      <c r="T58" s="13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3">
        <v>41828.922905092593</v>
      </c>
      <c r="T59" s="13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3">
        <v>42245.234340277777</v>
      </c>
      <c r="T60" s="13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3">
        <v>42278.629710648151</v>
      </c>
      <c r="T61" s="13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3">
        <v>41826.61954861111</v>
      </c>
      <c r="T62" s="13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3">
        <v>42041.205000000002</v>
      </c>
      <c r="T64" s="13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3">
        <v>42203.677766203706</v>
      </c>
      <c r="T65" s="13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3">
        <v>41983.752847222218</v>
      </c>
      <c r="T66" s="13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3">
        <v>42103.024398148147</v>
      </c>
      <c r="T67" s="13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3">
        <v>42089.901574074072</v>
      </c>
      <c r="T68" s="13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3">
        <v>42297.691006944442</v>
      </c>
      <c r="T69" s="13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3">
        <v>41833.089756944442</v>
      </c>
      <c r="T70" s="13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3">
        <v>42325.920717592591</v>
      </c>
      <c r="T71" s="13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3">
        <v>41793.814259259263</v>
      </c>
      <c r="T74" s="13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3">
        <v>42621.389340277776</v>
      </c>
      <c r="T76" s="13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3">
        <v>41780.785729166666</v>
      </c>
      <c r="T77" s="13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3">
        <v>41766.072500000002</v>
      </c>
      <c r="T78" s="13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3">
        <v>41766.617291666669</v>
      </c>
      <c r="T79" s="13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3">
        <v>42248.627013888887</v>
      </c>
      <c r="T80" s="13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3">
        <v>41885.221550925926</v>
      </c>
      <c r="T81" s="13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3">
        <v>42159.224432870367</v>
      </c>
      <c r="T82" s="13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3">
        <v>42265.817002314812</v>
      </c>
      <c r="T83" s="1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3">
        <v>41975.124340277776</v>
      </c>
      <c r="T84" s="13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3">
        <v>41848.84002314815</v>
      </c>
      <c r="T86" s="13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3">
        <v>42059.970729166671</v>
      </c>
      <c r="T88" s="13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3">
        <v>42041.743090277778</v>
      </c>
      <c r="T89" s="13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3">
        <v>41829.73715277778</v>
      </c>
      <c r="T90" s="13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3">
        <v>41789.893599537041</v>
      </c>
      <c r="T91" s="13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3">
        <v>41914.590011574073</v>
      </c>
      <c r="T93" s="1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3">
        <v>42611.261064814811</v>
      </c>
      <c r="T94" s="13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3">
        <v>42253.633159722223</v>
      </c>
      <c r="T95" s="13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3">
        <v>42295.891828703709</v>
      </c>
      <c r="T96" s="13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3">
        <v>42402.947002314817</v>
      </c>
      <c r="T97" s="13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3">
        <v>42509.814108796301</v>
      </c>
      <c r="T98" s="13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3">
        <v>41977.004976851851</v>
      </c>
      <c r="T99" s="13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3">
        <v>42171.758611111116</v>
      </c>
      <c r="T100" s="13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3">
        <v>42056.1324537037</v>
      </c>
      <c r="T101" s="13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3">
        <v>41867.652280092596</v>
      </c>
      <c r="T102" s="13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3">
        <v>41779.657870370371</v>
      </c>
      <c r="T103" s="1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3">
        <v>41793.191875000004</v>
      </c>
      <c r="T106" s="13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3">
        <v>42136.092488425929</v>
      </c>
      <c r="T108" s="13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3">
        <v>42317.826377314821</v>
      </c>
      <c r="T109" s="13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3">
        <v>41834.135370370372</v>
      </c>
      <c r="T113" s="13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3">
        <v>41863.359282407408</v>
      </c>
      <c r="T114" s="13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3">
        <v>42224.756909722222</v>
      </c>
      <c r="T115" s="13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3">
        <v>41939.8122337963</v>
      </c>
      <c r="T116" s="13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3">
        <v>42059.270023148143</v>
      </c>
      <c r="T117" s="13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3">
        <v>42308.211215277777</v>
      </c>
      <c r="T118" s="13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3">
        <v>42020.768634259264</v>
      </c>
      <c r="T119" s="13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3">
        <v>41786.959745370368</v>
      </c>
      <c r="T120" s="13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3">
        <v>41820.870821759258</v>
      </c>
      <c r="T121" s="13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3">
        <v>42601.827141203699</v>
      </c>
      <c r="T123" s="13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3">
        <v>42538.968310185184</v>
      </c>
      <c r="T126" s="13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3">
        <v>42233.671747685185</v>
      </c>
      <c r="T127" s="13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3">
        <v>42675.262962962966</v>
      </c>
      <c r="T128" s="13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3">
        <v>42534.631481481483</v>
      </c>
      <c r="T129" s="13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3">
        <v>42151.905717592599</v>
      </c>
      <c r="T130" s="13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3">
        <v>41940.587233796294</v>
      </c>
      <c r="T132" s="13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3">
        <v>42111.904097222221</v>
      </c>
      <c r="T133" s="1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3">
        <v>42279.778564814813</v>
      </c>
      <c r="T134" s="13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3">
        <v>42213.662905092591</v>
      </c>
      <c r="T135" s="13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3">
        <v>42109.801712962959</v>
      </c>
      <c r="T136" s="13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3">
        <v>42031.833587962959</v>
      </c>
      <c r="T137" s="13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3">
        <v>42615.142870370371</v>
      </c>
      <c r="T138" s="13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3">
        <v>42439.702314814815</v>
      </c>
      <c r="T139" s="13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3">
        <v>42243.790393518517</v>
      </c>
      <c r="T140" s="13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3">
        <v>42306.848854166667</v>
      </c>
      <c r="T142" s="13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3">
        <v>42513.976319444439</v>
      </c>
      <c r="T144" s="13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3">
        <v>41816.950370370374</v>
      </c>
      <c r="T145" s="13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3">
        <v>41880.788842592592</v>
      </c>
      <c r="T146" s="13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3">
        <v>42342.845555555556</v>
      </c>
      <c r="T147" s="13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3">
        <v>42053.722060185188</v>
      </c>
      <c r="T148" s="13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3">
        <v>41801.711550925924</v>
      </c>
      <c r="T150" s="13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3">
        <v>42770.290590277778</v>
      </c>
      <c r="T151" s="13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3">
        <v>42601.854699074072</v>
      </c>
      <c r="T153" s="1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3">
        <v>42447.863553240735</v>
      </c>
      <c r="T154" s="13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3">
        <v>41811.536180555559</v>
      </c>
      <c r="T155" s="13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3">
        <v>41981.067523148144</v>
      </c>
      <c r="T156" s="13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3">
        <v>42469.68414351852</v>
      </c>
      <c r="T157" s="13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3">
        <v>42534.866875</v>
      </c>
      <c r="T158" s="13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3">
        <v>41830.858344907407</v>
      </c>
      <c r="T159" s="13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3">
        <v>42543.788564814815</v>
      </c>
      <c r="T160" s="13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3">
        <v>41975.642974537041</v>
      </c>
      <c r="T161" s="13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3">
        <v>41795.598923611113</v>
      </c>
      <c r="T162" s="13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3">
        <v>42508.179965277777</v>
      </c>
      <c r="T163" s="13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3">
        <v>41747.86986111111</v>
      </c>
      <c r="T164" s="13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3">
        <v>42230.08116898148</v>
      </c>
      <c r="T166" s="13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3">
        <v>42125.644467592589</v>
      </c>
      <c r="T168" s="13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3">
        <v>42289.94049768518</v>
      </c>
      <c r="T169" s="13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3">
        <v>42107.864722222221</v>
      </c>
      <c r="T170" s="13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3">
        <v>41809.389930555553</v>
      </c>
      <c r="T171" s="13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3">
        <v>41950.26694444444</v>
      </c>
      <c r="T172" s="13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3">
        <v>42061.963263888887</v>
      </c>
      <c r="T173" s="13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3">
        <v>41879.043530092589</v>
      </c>
      <c r="T176" s="13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3">
        <v>41890.16269675926</v>
      </c>
      <c r="T178" s="13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3">
        <v>41872.807696759257</v>
      </c>
      <c r="T179" s="13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3">
        <v>42391.772997685184</v>
      </c>
      <c r="T180" s="13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3">
        <v>41848.772928240738</v>
      </c>
      <c r="T181" s="13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3">
        <v>41921.770439814813</v>
      </c>
      <c r="T182" s="13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3">
        <v>42021.301192129627</v>
      </c>
      <c r="T183" s="13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3">
        <v>42419.246168981481</v>
      </c>
      <c r="T184" s="13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3">
        <v>42174.780821759254</v>
      </c>
      <c r="T185" s="13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3">
        <v>41856.672152777777</v>
      </c>
      <c r="T186" s="13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3">
        <v>42417.675879629634</v>
      </c>
      <c r="T187" s="13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3">
        <v>41878.911550925928</v>
      </c>
      <c r="T189" s="13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3">
        <v>41990.584108796291</v>
      </c>
      <c r="T190" s="13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3">
        <v>42408.999571759254</v>
      </c>
      <c r="T191" s="13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3">
        <v>42217.670104166667</v>
      </c>
      <c r="T192" s="13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3">
        <v>42282.655543981484</v>
      </c>
      <c r="T193" s="1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3">
        <v>42768.97084490741</v>
      </c>
      <c r="T194" s="13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3">
        <v>41765.938657407409</v>
      </c>
      <c r="T195" s="13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3">
        <v>42374.655081018514</v>
      </c>
      <c r="T197" s="13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3">
        <v>41941.585231481484</v>
      </c>
      <c r="T198" s="13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3">
        <v>42293.809212962966</v>
      </c>
      <c r="T199" s="13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3">
        <v>42067.947337962964</v>
      </c>
      <c r="T200" s="13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3">
        <v>41903.882951388885</v>
      </c>
      <c r="T201" s="13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3">
        <v>41804.937083333331</v>
      </c>
      <c r="T202" s="13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3">
        <v>42497.070775462969</v>
      </c>
      <c r="T203" s="13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3">
        <v>41869.798726851855</v>
      </c>
      <c r="T204" s="13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3">
        <v>42305.670914351853</v>
      </c>
      <c r="T205" s="13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3">
        <v>41995.084074074075</v>
      </c>
      <c r="T207" s="13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3">
        <v>42074.219699074078</v>
      </c>
      <c r="T208" s="13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3">
        <v>41904.650578703702</v>
      </c>
      <c r="T209" s="13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3">
        <v>41991.022488425922</v>
      </c>
      <c r="T210" s="13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3">
        <v>42169.958506944444</v>
      </c>
      <c r="T211" s="13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3">
        <v>41905.636469907404</v>
      </c>
      <c r="T212" s="13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3">
        <v>41761.810150462967</v>
      </c>
      <c r="T213" s="13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3">
        <v>41865.878657407404</v>
      </c>
      <c r="T214" s="13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3">
        <v>42613.841261574074</v>
      </c>
      <c r="T215" s="13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3">
        <v>42534.933321759265</v>
      </c>
      <c r="T216" s="13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3">
        <v>42421.141469907408</v>
      </c>
      <c r="T218" s="13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3">
        <v>42523.739212962959</v>
      </c>
      <c r="T219" s="13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3">
        <v>41833.951516203706</v>
      </c>
      <c r="T220" s="13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3">
        <v>42479.039212962962</v>
      </c>
      <c r="T221" s="13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3">
        <v>42235.117476851854</v>
      </c>
      <c r="T222" s="13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3">
        <v>42031.666898148149</v>
      </c>
      <c r="T224" s="13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3">
        <v>42078.34520833334</v>
      </c>
      <c r="T225" s="13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3">
        <v>41905.795706018522</v>
      </c>
      <c r="T226" s="13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3">
        <v>42695.7105787037</v>
      </c>
      <c r="T227" s="13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3">
        <v>42510.938900462963</v>
      </c>
      <c r="T228" s="13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3">
        <v>42511.698101851856</v>
      </c>
      <c r="T229" s="13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3">
        <v>42041.581307870365</v>
      </c>
      <c r="T230" s="13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3">
        <v>42307.189270833333</v>
      </c>
      <c r="T231" s="13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3">
        <v>42353.761759259258</v>
      </c>
      <c r="T232" s="13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3">
        <v>42058.603877314818</v>
      </c>
      <c r="T233" s="13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3">
        <v>42122.732499999998</v>
      </c>
      <c r="T236" s="13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3">
        <v>42209.67288194444</v>
      </c>
      <c r="T237" s="13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3">
        <v>41990.506377314814</v>
      </c>
      <c r="T238" s="13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3">
        <v>42039.194988425923</v>
      </c>
      <c r="T239" s="13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3">
        <v>41890.086805555555</v>
      </c>
      <c r="T240" s="13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3">
        <v>42495.722187499996</v>
      </c>
      <c r="T241" s="13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3">
        <v>41927.124884259261</v>
      </c>
      <c r="T243" s="13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3">
        <v>42730.903726851851</v>
      </c>
      <c r="T244" s="13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3">
        <v>42475.848067129627</v>
      </c>
      <c r="T245" s="13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3">
        <v>42188.83293981482</v>
      </c>
      <c r="T246" s="13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3">
        <v>42053.049375000002</v>
      </c>
      <c r="T247" s="13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3">
        <v>41883.916678240741</v>
      </c>
      <c r="T248" s="13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3">
        <v>42767.031678240746</v>
      </c>
      <c r="T249" s="13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3">
        <v>42029.135879629626</v>
      </c>
      <c r="T250" s="13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3">
        <v>42358.573182870372</v>
      </c>
      <c r="T251" s="13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S1:T1">
    <cfRule type="colorScale" priority="2">
      <colorScale>
        <cfvo type="min"/>
        <cfvo type="max"/>
        <color rgb="FFC0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1B1C5-C03F-4B88-961E-81DB080D196B}">
  <sheetPr codeName="Sheet4"/>
  <dimension ref="A1:C15"/>
  <sheetViews>
    <sheetView workbookViewId="0">
      <selection activeCell="E21" sqref="E21"/>
    </sheetView>
  </sheetViews>
  <sheetFormatPr defaultRowHeight="15" x14ac:dyDescent="0.25"/>
  <cols>
    <col min="1" max="1" width="25.8554687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8387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25">
      <c r="A11" t="s">
        <v>8388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25">
      <c r="A12" t="s">
        <v>8395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25">
      <c r="A13" t="s">
        <v>8396</v>
      </c>
      <c r="B13" s="17">
        <f>_xlfn.QUARTILE.EXC('Successful US Kickstarters'!E:E,3)</f>
        <v>5699</v>
      </c>
      <c r="C13" s="17">
        <f>_xlfn.QUARTILE.EXC('Failed US Kickstarters'!E:E,3)</f>
        <v>501</v>
      </c>
    </row>
    <row r="14" spans="1:3" x14ac:dyDescent="0.25">
      <c r="A14" t="s">
        <v>8397</v>
      </c>
      <c r="B14" s="17">
        <f>_xlfn.QUARTILE.EXC('Successful US Kickstarters'!E:E,1)</f>
        <v>1716.5074999999999</v>
      </c>
      <c r="C14" s="17">
        <f>_xlfn.QUARTILE.EXC('Failed US Kickstarters'!E:E,1)</f>
        <v>9.25</v>
      </c>
    </row>
    <row r="15" spans="1:3" x14ac:dyDescent="0.25">
      <c r="A15" t="s">
        <v>8398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28FE-3F7D-422B-90BC-53540D7FB796}">
  <sheetPr codeName="Sheet5"/>
  <dimension ref="A1:F6"/>
  <sheetViews>
    <sheetView workbookViewId="0">
      <selection activeCell="B19" sqref="B19"/>
    </sheetView>
  </sheetViews>
  <sheetFormatPr defaultRowHeight="15" x14ac:dyDescent="0.25"/>
  <cols>
    <col min="1" max="1" width="31" customWidth="1"/>
    <col min="2" max="2" width="58.28515625" customWidth="1"/>
    <col min="3" max="3" width="15.85546875" customWidth="1"/>
    <col min="4" max="4" width="17.85546875" customWidth="1"/>
    <col min="5" max="5" width="16.28515625" bestFit="1" customWidth="1"/>
    <col min="6" max="6" width="17.28515625" bestFit="1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8359</v>
      </c>
      <c r="F1" s="1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5">
        <f>VLOOKUP(A2,Kickstarter!B:E,3,FALSE)</f>
        <v>2000</v>
      </c>
      <c r="D2" s="16">
        <f>VLOOKUP(A2,Kickstarter!B:E,4,FALSE)</f>
        <v>2020</v>
      </c>
      <c r="E2" s="15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5">
        <f>VLOOKUP(A3,Kickstarter!B:E,3,FALSE)</f>
        <v>2000</v>
      </c>
      <c r="D3" s="16">
        <f>VLOOKUP(A3,Kickstarter!B:E,4,FALSE)</f>
        <v>2020</v>
      </c>
      <c r="E3" s="15">
        <f>VLOOKUP(A3,Kickstarter!B:P,15,FALSE)</f>
        <v>36.07</v>
      </c>
      <c r="F3">
        <f>VLOOKUP(A3,Kickstarter!B:P,11,FALSE)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5">
        <f>VLOOKUP(A4,Kickstarter!B:E,3,FALSE)</f>
        <v>1500</v>
      </c>
      <c r="D4" s="16">
        <f>VLOOKUP(A4,Kickstarter!B:E,4,FALSE)</f>
        <v>2576</v>
      </c>
      <c r="E4" s="15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5">
        <f>VLOOKUP(A5,Kickstarter!B:E,3,FALSE)</f>
        <v>1000</v>
      </c>
      <c r="D5" s="16">
        <f>VLOOKUP(A5,Kickstarter!B:E,4,FALSE)</f>
        <v>1168</v>
      </c>
      <c r="E5" s="15">
        <f>VLOOKUP(A5,Kickstarter!B:P,15,FALSE)</f>
        <v>44.92</v>
      </c>
      <c r="F5">
        <f>VLOOKUP(A5,Kickstarter!B:P,11,FALSE)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5">
        <f>VLOOKUP(A6,Kickstarter!B:E,3,FALSE)</f>
        <v>4000</v>
      </c>
      <c r="D6" s="16">
        <f>VLOOKUP(A6,Kickstarter!B:E,4,FALSE)</f>
        <v>4137</v>
      </c>
      <c r="E6" s="15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9E68-5CA3-4CD0-9DA9-F39FA460D9B9}">
  <sheetPr codeName="Sheet6"/>
  <dimension ref="A1:F6"/>
  <sheetViews>
    <sheetView workbookViewId="0">
      <selection sqref="A1:A104857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5.7109375" bestFit="1" customWidth="1"/>
    <col min="8" max="8" width="3.85546875" bestFit="1" customWidth="1"/>
    <col min="9" max="9" width="9.42578125" bestFit="1" customWidth="1"/>
    <col min="10" max="10" width="9.7109375" bestFit="1" customWidth="1"/>
    <col min="11" max="11" width="8.42578125" bestFit="1" customWidth="1"/>
    <col min="12" max="12" width="9.42578125" bestFit="1" customWidth="1"/>
    <col min="13" max="13" width="11.140625" bestFit="1" customWidth="1"/>
    <col min="14" max="14" width="11.85546875" bestFit="1" customWidth="1"/>
    <col min="15" max="15" width="14.7109375" bestFit="1" customWidth="1"/>
    <col min="16" max="16" width="8.42578125" bestFit="1" customWidth="1"/>
    <col min="17" max="17" width="5.7109375" bestFit="1" customWidth="1"/>
    <col min="18" max="18" width="3.85546875" bestFit="1" customWidth="1"/>
    <col min="19" max="19" width="9.42578125" bestFit="1" customWidth="1"/>
    <col min="20" max="20" width="10.5703125" bestFit="1" customWidth="1"/>
    <col min="21" max="21" width="14" bestFit="1" customWidth="1"/>
    <col min="22" max="22" width="9.42578125" bestFit="1" customWidth="1"/>
    <col min="23" max="23" width="16.7109375" bestFit="1" customWidth="1"/>
    <col min="24" max="24" width="11.7109375" bestFit="1" customWidth="1"/>
    <col min="25" max="25" width="5.7109375" bestFit="1" customWidth="1"/>
    <col min="26" max="26" width="9.42578125" bestFit="1" customWidth="1"/>
    <col min="27" max="27" width="14.42578125" bestFit="1" customWidth="1"/>
    <col min="28" max="28" width="12.42578125" bestFit="1" customWidth="1"/>
    <col min="29" max="29" width="5.7109375" bestFit="1" customWidth="1"/>
    <col min="30" max="30" width="9.42578125" bestFit="1" customWidth="1"/>
    <col min="31" max="31" width="15.28515625" bestFit="1" customWidth="1"/>
    <col min="32" max="32" width="9.140625" bestFit="1" customWidth="1"/>
    <col min="33" max="33" width="5.7109375" bestFit="1" customWidth="1"/>
    <col min="34" max="34" width="3.85546875" bestFit="1" customWidth="1"/>
    <col min="35" max="35" width="9.42578125" bestFit="1" customWidth="1"/>
    <col min="36" max="36" width="11.7109375" bestFit="1" customWidth="1"/>
    <col min="37" max="37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41CB-7D9D-42FB-8720-D7B1129A8049}">
  <sheetPr codeName="Sheet7"/>
  <dimension ref="A1:E7"/>
  <sheetViews>
    <sheetView workbookViewId="0">
      <selection activeCell="H23" sqref="H23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5" width="11" bestFit="1" customWidth="1"/>
    <col min="6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8315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6C0B-BD82-42A4-B07B-819EF71F669A}">
  <sheetPr codeName="Sheet8"/>
  <dimension ref="A1:E18"/>
  <sheetViews>
    <sheetView workbookViewId="0">
      <selection sqref="A1:A104857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9.7109375" bestFit="1" customWidth="1"/>
    <col min="5" max="5" width="11" bestFit="1" customWidth="1"/>
    <col min="6" max="6" width="10.7109375" bestFit="1" customWidth="1"/>
  </cols>
  <sheetData>
    <row r="1" spans="1:5" x14ac:dyDescent="0.25">
      <c r="A1" s="11" t="s">
        <v>8358</v>
      </c>
      <c r="B1" t="s">
        <v>8316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>
        <v>17</v>
      </c>
      <c r="C6">
        <v>23</v>
      </c>
      <c r="D6">
        <v>9</v>
      </c>
      <c r="E6">
        <v>49</v>
      </c>
    </row>
    <row r="7" spans="1:5" x14ac:dyDescent="0.25">
      <c r="A7" s="14" t="s">
        <v>8374</v>
      </c>
      <c r="B7">
        <v>13</v>
      </c>
      <c r="C7">
        <v>14</v>
      </c>
      <c r="D7">
        <v>20</v>
      </c>
      <c r="E7">
        <v>47</v>
      </c>
    </row>
    <row r="8" spans="1:5" x14ac:dyDescent="0.25">
      <c r="A8" s="14" t="s">
        <v>8375</v>
      </c>
      <c r="B8">
        <v>12</v>
      </c>
      <c r="C8">
        <v>13</v>
      </c>
      <c r="D8">
        <v>17</v>
      </c>
      <c r="E8">
        <v>42</v>
      </c>
    </row>
    <row r="9" spans="1:5" x14ac:dyDescent="0.25">
      <c r="A9" s="14" t="s">
        <v>8376</v>
      </c>
      <c r="B9">
        <v>11</v>
      </c>
      <c r="C9">
        <v>7</v>
      </c>
      <c r="D9">
        <v>26</v>
      </c>
      <c r="E9">
        <v>44</v>
      </c>
    </row>
    <row r="10" spans="1:5" x14ac:dyDescent="0.25">
      <c r="A10" s="14" t="s">
        <v>8367</v>
      </c>
      <c r="B10">
        <v>11</v>
      </c>
      <c r="C10">
        <v>11</v>
      </c>
      <c r="D10">
        <v>14</v>
      </c>
      <c r="E10">
        <v>36</v>
      </c>
    </row>
    <row r="11" spans="1:5" x14ac:dyDescent="0.25">
      <c r="A11" s="14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25">
      <c r="A12" s="14" t="s">
        <v>8368</v>
      </c>
      <c r="B12">
        <v>18</v>
      </c>
      <c r="C12">
        <v>17</v>
      </c>
      <c r="D12">
        <v>18</v>
      </c>
      <c r="E12">
        <v>53</v>
      </c>
    </row>
    <row r="13" spans="1:5" x14ac:dyDescent="0.25">
      <c r="A13" s="14" t="s">
        <v>8369</v>
      </c>
      <c r="B13">
        <v>12</v>
      </c>
      <c r="C13">
        <v>14</v>
      </c>
      <c r="D13">
        <v>18</v>
      </c>
      <c r="E13">
        <v>44</v>
      </c>
    </row>
    <row r="14" spans="1:5" x14ac:dyDescent="0.25">
      <c r="A14" s="14" t="s">
        <v>8370</v>
      </c>
      <c r="B14">
        <v>13</v>
      </c>
      <c r="C14">
        <v>24</v>
      </c>
      <c r="D14">
        <v>15</v>
      </c>
      <c r="E14">
        <v>52</v>
      </c>
    </row>
    <row r="15" spans="1:5" x14ac:dyDescent="0.25">
      <c r="A15" s="14" t="s">
        <v>8371</v>
      </c>
      <c r="B15">
        <v>12</v>
      </c>
      <c r="C15">
        <v>23</v>
      </c>
      <c r="D15">
        <v>20</v>
      </c>
      <c r="E15">
        <v>55</v>
      </c>
    </row>
    <row r="16" spans="1:5" x14ac:dyDescent="0.25">
      <c r="A16" s="14" t="s">
        <v>8372</v>
      </c>
      <c r="B16">
        <v>26</v>
      </c>
      <c r="C16">
        <v>23</v>
      </c>
      <c r="D16">
        <v>24</v>
      </c>
      <c r="E16">
        <v>73</v>
      </c>
    </row>
    <row r="17" spans="1:5" x14ac:dyDescent="0.25">
      <c r="A17" s="14" t="s">
        <v>8378</v>
      </c>
      <c r="B17">
        <v>16</v>
      </c>
      <c r="C17">
        <v>22</v>
      </c>
      <c r="D17">
        <v>11</v>
      </c>
      <c r="E17">
        <v>49</v>
      </c>
    </row>
    <row r="18" spans="1:5" x14ac:dyDescent="0.25">
      <c r="A18" s="14" t="s">
        <v>8361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Jaime McLean</cp:lastModifiedBy>
  <dcterms:created xsi:type="dcterms:W3CDTF">2017-04-20T15:17:24Z</dcterms:created>
  <dcterms:modified xsi:type="dcterms:W3CDTF">2022-12-27T03:21:40Z</dcterms:modified>
</cp:coreProperties>
</file>